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870" windowWidth="18555" windowHeight="11640" activeTab="0"/>
  </bookViews>
  <sheets>
    <sheet name="форма 2п" sheetId="1" r:id="rId1"/>
    <sheet name="Лист1" sheetId="2" r:id="rId2"/>
  </sheets>
  <definedNames>
    <definedName name="_xlnm.Print_Titles" localSheetId="0">'форма 2п'!$8:$10</definedName>
    <definedName name="_xlnm.Print_Area" localSheetId="1">'Лист1'!$A$1:$P$5</definedName>
    <definedName name="_xlnm.Print_Area" localSheetId="0">'форма 2п'!$A$1:$L$131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<sst xmlns="http://schemas.openxmlformats.org/spreadsheetml/2006/main" count="310" uniqueCount="176">
  <si>
    <t>Население</t>
  </si>
  <si>
    <t>Продукция сельского хозяйства</t>
  </si>
  <si>
    <t>млн. руб.</t>
  </si>
  <si>
    <t>Индекс производства продукции сельского хозяйства</t>
  </si>
  <si>
    <t>в ценах соответствующих лет; млн. руб.</t>
  </si>
  <si>
    <t>% к предыдущему году в сопоставимых ценах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</si>
  <si>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</si>
  <si>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</si>
  <si>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</si>
  <si>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</si>
  <si>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единиц</t>
  </si>
  <si>
    <t>Инвестиции в основной капитал</t>
  </si>
  <si>
    <t>Собственные средства</t>
  </si>
  <si>
    <t>млн. рублей</t>
  </si>
  <si>
    <t>Заемные средства других организаций</t>
  </si>
  <si>
    <t>Прочие</t>
  </si>
  <si>
    <t>Денежные доходы населения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</si>
  <si>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</si>
  <si>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</si>
  <si>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</si>
  <si>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</si>
  <si>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</si>
  <si>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</si>
  <si>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</si>
  <si>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</si>
  <si>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</si>
  <si>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</si>
  <si>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</si>
  <si>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</si>
  <si>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</si>
  <si>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</si>
  <si>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тыс. человек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</si>
  <si>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</si>
  <si>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</si>
  <si>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</si>
  <si>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 производства - РАЗДЕЛ C: Обрабатывающие производства</t>
  </si>
  <si>
    <t>Индекс производства - 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</si>
  <si>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</si>
  <si>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</si>
  <si>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</si>
  <si>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Продукция сельского хозяйства в хозяйствах всех категорий, в том числе: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</si>
  <si>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</si>
  <si>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</si>
  <si>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</si>
  <si>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</si>
  <si>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ценах соответствующих лет; млрд. руб.</t>
  </si>
  <si>
    <t>тыс. тонн</t>
  </si>
  <si>
    <t>Картофель</t>
  </si>
  <si>
    <t>Овощи</t>
  </si>
  <si>
    <t>Скот и птица на убой (в живом весе)</t>
  </si>
  <si>
    <t>Молоко</t>
  </si>
  <si>
    <t>Яйца</t>
  </si>
  <si>
    <t>Нефть сырая, включая газовый конденсат</t>
  </si>
  <si>
    <t>Газ природный и попутный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</si>
  <si>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</si>
  <si>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</si>
  <si>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Удельный вес жилых домов, построенных населением</t>
  </si>
  <si>
    <t>Оборот общественного питания</t>
  </si>
  <si>
    <t>Индекс физического объема инвестиций в основной капитал</t>
  </si>
  <si>
    <t>Привлеченные средства</t>
  </si>
  <si>
    <t>Кредиты банков</t>
  </si>
  <si>
    <t>Бюджетные средства</t>
  </si>
  <si>
    <t>руб.</t>
  </si>
  <si>
    <t>Средний размер назначенных пенсий</t>
  </si>
  <si>
    <t>Среднесписочная численность работников организаций (без внешних совместителей)</t>
  </si>
  <si>
    <t>Фонд начисленной заработной платы всех работников</t>
  </si>
  <si>
    <t>Численность детей в дошкольных образовательных учреждениях</t>
  </si>
  <si>
    <t>государственных и муниципальных</t>
  </si>
  <si>
    <t>негосударственных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</si>
  <si>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</si>
  <si>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</si>
  <si>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</si>
  <si>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</si>
  <si>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</si>
  <si>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</si>
  <si>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больничными койками на 10 000 человек населения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</si>
  <si>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</si>
  <si>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</si>
  <si>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</si>
  <si>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</si>
  <si>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</si>
  <si>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</si>
  <si>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</si>
  <si>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</si>
  <si>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</si>
  <si>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Реальные денежные доходы населения</t>
  </si>
  <si>
    <t>Среднедушевые денежные доходы (в месяц)</t>
  </si>
  <si>
    <t>человек</t>
  </si>
  <si>
    <t>Численность обучающихся в общеобразовательных учреждениях (без вечерних (сменных) общеобразовательных учреждениях (на начало учебного года)</t>
  </si>
  <si>
    <t>Обеспеченность:</t>
  </si>
  <si>
    <t xml:space="preserve"> коек</t>
  </si>
  <si>
    <t>учрежд. на 100 тыс. населения</t>
  </si>
  <si>
    <t>на конец года; тыс. человек</t>
  </si>
  <si>
    <t>Расходы консолидированного бюджета  муниципального образования всего, в том числе по направлениям:</t>
  </si>
  <si>
    <t>отчет</t>
  </si>
  <si>
    <t>оценка</t>
  </si>
  <si>
    <t>прогноз</t>
  </si>
  <si>
    <t>базовый вариант</t>
  </si>
  <si>
    <t>целевой вариант</t>
  </si>
  <si>
    <t>1.</t>
  </si>
  <si>
    <t>Численность населения (в среднегодовом исчислении)</t>
  </si>
  <si>
    <t>тыс.чел.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</si>
  <si>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</si>
  <si>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</si>
  <si>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</si>
  <si>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</si>
  <si>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</si>
  <si>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тыс. чел</t>
  </si>
  <si>
    <t>3.</t>
  </si>
  <si>
    <t>2.</t>
  </si>
  <si>
    <t>Объем отгруженных товаров собственного производства, выполненных работ и услуг собственными силами (В+C +D + E)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</si>
  <si>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</si>
  <si>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</si>
  <si>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</si>
  <si>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</si>
  <si>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</si>
  <si>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</si>
  <si>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 xml:space="preserve">млн.руб. </t>
  </si>
  <si>
    <t>млн.шт.</t>
  </si>
  <si>
    <t>2.3.</t>
  </si>
  <si>
    <t>Промышленное производство (BCDE)</t>
  </si>
  <si>
    <t>2.1.</t>
  </si>
  <si>
    <t>2.2.</t>
  </si>
  <si>
    <t>2.4.</t>
  </si>
  <si>
    <t xml:space="preserve"> Сельское хозяйство</t>
  </si>
  <si>
    <t>4.</t>
  </si>
  <si>
    <t xml:space="preserve">Производство важнейших видов продукции в натуральном выражении </t>
  </si>
  <si>
    <t>5.</t>
  </si>
  <si>
    <t>Строительство</t>
  </si>
  <si>
    <t>6.</t>
  </si>
  <si>
    <t>Торговля и услуги населению</t>
  </si>
  <si>
    <t>6.1.</t>
  </si>
  <si>
    <t>6.2.</t>
  </si>
  <si>
    <t>6.3.</t>
  </si>
  <si>
    <t>7.</t>
  </si>
  <si>
    <t>Малое и среднее предпринимательство, включая микропредприятия</t>
  </si>
  <si>
    <t xml:space="preserve">Муниципальный долг  </t>
  </si>
  <si>
    <t xml:space="preserve"> Инвестиции</t>
  </si>
  <si>
    <t>8.</t>
  </si>
  <si>
    <t>9.</t>
  </si>
  <si>
    <t xml:space="preserve"> Бюджет муниципального образования</t>
  </si>
  <si>
    <t xml:space="preserve"> Денежные доходы  населения</t>
  </si>
  <si>
    <t>10.</t>
  </si>
  <si>
    <t>11.</t>
  </si>
  <si>
    <t>Труд и занятость</t>
  </si>
  <si>
    <t>12.</t>
  </si>
  <si>
    <t xml:space="preserve"> Развитие социальной сферы</t>
  </si>
  <si>
    <t>Число родившихся</t>
  </si>
  <si>
    <t>Число умерших</t>
  </si>
  <si>
    <t>Естественный прирост населения</t>
  </si>
  <si>
    <t xml:space="preserve"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
</t>
  </si>
  <si>
    <t>Среднемесячная номинальная начисленная заработная плата 1 работника</t>
  </si>
  <si>
    <t>рублей</t>
  </si>
  <si>
    <t>Темп роста среднемесячной номинальной начисленной заработной платы 1 работника</t>
  </si>
  <si>
    <t>Численность занятых в экономике</t>
  </si>
  <si>
    <t xml:space="preserve">Дефицит(-),профицит(+)  бюджета  </t>
  </si>
  <si>
    <t>Доходы консолидированного бюджета  муниципального образования всего, в том числе:</t>
  </si>
  <si>
    <t>-</t>
  </si>
  <si>
    <t>Численность рабочей силы (ЭАН)</t>
  </si>
  <si>
    <t>инв на 1 жителя</t>
  </si>
  <si>
    <t>Количество малых и средних предприятий, включая микропредприятия (на конец года)</t>
  </si>
  <si>
    <t>Среднесписочная численность работников малых и средних предприятий, включая микропредприятия (без внешних совместителей)</t>
  </si>
  <si>
    <t xml:space="preserve">                              </t>
  </si>
  <si>
    <t>Инвестиции в основной капитал по источникам финансирования</t>
  </si>
  <si>
    <t>ПРОГНОЗ</t>
  </si>
  <si>
    <t>ПРИЛОЖЕНИЕ</t>
  </si>
  <si>
    <t>к постановлению администрации Белоярского района</t>
  </si>
  <si>
    <t>_________________</t>
  </si>
  <si>
    <t>Индекс потребительских цен (в среднем за год)</t>
  </si>
  <si>
    <t xml:space="preserve"> % к предыдущему году</t>
  </si>
  <si>
    <t>Ввод жилых домов</t>
  </si>
  <si>
    <t>социально-экономического развития  Белоярского района 
на 2020 год и плановый период 2021 и 2022 годов</t>
  </si>
  <si>
    <t>консервативный вариант</t>
  </si>
  <si>
    <t>млн.куб.м.</t>
  </si>
  <si>
    <t>Численность обучающихся в образовательных учреждениях начального профессионального образования</t>
  </si>
  <si>
    <t>от 25 октября 2019 года № 873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</si>
</sst>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#,##0.0_р_."/>
    <numFmt numFmtId="184" formatCode="#,##0.00_р_."/>
    <numFmt numFmtId="185" formatCode="#,##0.000_р_."/>
    <numFmt numFmtId="186" formatCode="#,##0_р_."/>
    <numFmt numFmtId="187" formatCode="#,##0.0"/>
    <numFmt numFmtId="188" formatCode="#,##0.0000"/>
    <numFmt numFmtId="189" formatCode="#,##0.00000"/>
  </numFmts>
  <fonts count="47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top" wrapText="1"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 applyProtection="1">
      <alignment horizontal="left" vertical="center" wrapText="1" shrinkToFit="1"/>
      <protection/>
    </xf>
    <xf numFmtId="0" fontId="8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>
      <alignment horizontal="left"/>
    </xf>
    <xf numFmtId="0" fontId="9" fillId="33" borderId="10" xfId="0" applyFont="1" applyFill="1" applyBorder="1" applyAlignment="1" applyProtection="1">
      <alignment horizontal="left" vertical="center" wrapText="1" shrinkToFit="1"/>
      <protection/>
    </xf>
    <xf numFmtId="187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>
      <alignment horizontal="center"/>
    </xf>
    <xf numFmtId="176" fontId="3" fillId="33" borderId="10" xfId="0" applyNumberFormat="1" applyFont="1" applyFill="1" applyBorder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 applyProtection="1">
      <alignment horizontal="center" vertical="center" wrapText="1"/>
      <protection/>
    </xf>
    <xf numFmtId="177" fontId="3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/>
    </xf>
    <xf numFmtId="0" fontId="46" fillId="33" borderId="0" xfId="0" applyFont="1" applyFill="1" applyAlignment="1">
      <alignment horizontal="left"/>
    </xf>
    <xf numFmtId="18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view="pageBreakPreview" zoomScale="80" zoomScaleNormal="80" zoomScaleSheetLayoutView="80" zoomScalePageLayoutView="0" workbookViewId="0" topLeftCell="B1">
      <selection activeCell="N5" sqref="N5"/>
    </sheetView>
  </sheetViews>
  <sheetFormatPr defaultColWidth="9.00390625" defaultRowHeight="12.75"/>
  <cols>
    <col min="1" max="1" width="5.625" style="8" hidden="1" customWidth="1"/>
    <col min="2" max="2" width="51.625" style="8" customWidth="1"/>
    <col min="3" max="3" width="24.625" style="8" customWidth="1"/>
    <col min="4" max="4" width="11.25390625" style="34" bestFit="1" customWidth="1"/>
    <col min="5" max="5" width="11.25390625" style="35" bestFit="1" customWidth="1"/>
    <col min="6" max="6" width="11.25390625" style="34" customWidth="1"/>
    <col min="7" max="7" width="14.125" style="35" customWidth="1"/>
    <col min="8" max="8" width="11.25390625" style="35" bestFit="1" customWidth="1"/>
    <col min="9" max="9" width="15.75390625" style="35" customWidth="1"/>
    <col min="10" max="10" width="11.25390625" style="35" bestFit="1" customWidth="1"/>
    <col min="11" max="11" width="16.375" style="35" customWidth="1"/>
    <col min="12" max="12" width="11.25390625" style="35" bestFit="1" customWidth="1"/>
    <col min="13" max="16384" width="9.125" style="8" customWidth="1"/>
  </cols>
  <sheetData>
    <row r="1" spans="8:12" ht="15">
      <c r="H1" s="67" t="s">
        <v>165</v>
      </c>
      <c r="I1" s="67"/>
      <c r="J1" s="67"/>
      <c r="K1" s="67"/>
      <c r="L1" s="67"/>
    </row>
    <row r="2" spans="8:12" ht="15">
      <c r="H2" s="68" t="s">
        <v>166</v>
      </c>
      <c r="I2" s="68"/>
      <c r="J2" s="68"/>
      <c r="K2" s="68"/>
      <c r="L2" s="68"/>
    </row>
    <row r="3" spans="8:12" ht="15">
      <c r="H3" s="79" t="s">
        <v>175</v>
      </c>
      <c r="I3" s="79"/>
      <c r="J3" s="79"/>
      <c r="K3" s="79"/>
      <c r="L3" s="79"/>
    </row>
    <row r="4" spans="2:12" ht="15.75" customHeight="1">
      <c r="B4" s="74" t="s">
        <v>164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2:12" ht="40.5" customHeight="1">
      <c r="B5" s="74" t="s">
        <v>171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2:12" ht="21.75" customHeight="1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2:12" ht="15.75" customHeight="1">
      <c r="B7" s="9"/>
      <c r="C7" s="10"/>
      <c r="D7" s="75"/>
      <c r="E7" s="75"/>
      <c r="F7" s="75"/>
      <c r="G7" s="75"/>
      <c r="H7" s="75"/>
      <c r="I7" s="75"/>
      <c r="J7" s="75"/>
      <c r="K7" s="75"/>
      <c r="L7" s="75"/>
    </row>
    <row r="8" spans="1:12" ht="15">
      <c r="A8" s="69"/>
      <c r="B8" s="76" t="s">
        <v>20</v>
      </c>
      <c r="C8" s="76" t="s">
        <v>21</v>
      </c>
      <c r="D8" s="32" t="s">
        <v>94</v>
      </c>
      <c r="E8" s="32" t="s">
        <v>94</v>
      </c>
      <c r="F8" s="32" t="s">
        <v>95</v>
      </c>
      <c r="G8" s="77" t="s">
        <v>96</v>
      </c>
      <c r="H8" s="78"/>
      <c r="I8" s="78"/>
      <c r="J8" s="78"/>
      <c r="K8" s="78"/>
      <c r="L8" s="78"/>
    </row>
    <row r="9" spans="1:12" ht="15">
      <c r="A9" s="70"/>
      <c r="B9" s="76"/>
      <c r="C9" s="76"/>
      <c r="D9" s="72">
        <v>2017</v>
      </c>
      <c r="E9" s="72">
        <v>2018</v>
      </c>
      <c r="F9" s="82">
        <v>2019</v>
      </c>
      <c r="G9" s="72">
        <v>2020</v>
      </c>
      <c r="H9" s="73"/>
      <c r="I9" s="72">
        <v>2021</v>
      </c>
      <c r="J9" s="73"/>
      <c r="K9" s="72">
        <v>2022</v>
      </c>
      <c r="L9" s="73"/>
    </row>
    <row r="10" spans="1:12" ht="30">
      <c r="A10" s="71"/>
      <c r="B10" s="76"/>
      <c r="C10" s="76"/>
      <c r="D10" s="73"/>
      <c r="E10" s="73"/>
      <c r="F10" s="83"/>
      <c r="G10" s="11" t="s">
        <v>172</v>
      </c>
      <c r="H10" s="11" t="s">
        <v>97</v>
      </c>
      <c r="I10" s="11" t="s">
        <v>172</v>
      </c>
      <c r="J10" s="11" t="s">
        <v>97</v>
      </c>
      <c r="K10" s="11" t="s">
        <v>172</v>
      </c>
      <c r="L10" s="11" t="s">
        <v>97</v>
      </c>
    </row>
    <row r="11" spans="1:12" ht="15">
      <c r="A11" s="12" t="s">
        <v>99</v>
      </c>
      <c r="B11" s="13" t="s">
        <v>0</v>
      </c>
      <c r="C11" s="13"/>
      <c r="D11" s="14"/>
      <c r="E11" s="36"/>
      <c r="F11" s="14"/>
      <c r="G11" s="36"/>
      <c r="H11" s="36"/>
      <c r="I11" s="36"/>
      <c r="J11" s="36"/>
      <c r="K11" s="36"/>
      <c r="L11" s="36"/>
    </row>
    <row r="12" spans="1:12" ht="15">
      <c r="A12" s="12"/>
      <c r="B12" s="1" t="s">
        <v>100</v>
      </c>
      <c r="C12" s="2" t="s">
        <v>101</v>
      </c>
      <c r="D12" s="41">
        <v>29.155</v>
      </c>
      <c r="E12" s="41">
        <v>28.677</v>
      </c>
      <c r="F12" s="41">
        <v>28.301</v>
      </c>
      <c r="G12" s="41">
        <v>28.012</v>
      </c>
      <c r="H12" s="41">
        <v>28.048</v>
      </c>
      <c r="I12" s="41">
        <v>27.719</v>
      </c>
      <c r="J12" s="41">
        <v>27.832</v>
      </c>
      <c r="K12" s="41">
        <v>27.481</v>
      </c>
      <c r="L12" s="41">
        <v>27.663</v>
      </c>
    </row>
    <row r="13" spans="1:12" ht="15">
      <c r="A13" s="12"/>
      <c r="B13" s="15" t="s">
        <v>102</v>
      </c>
      <c r="C13" s="2" t="s">
        <v>101</v>
      </c>
      <c r="D13" s="42">
        <f>D12*0.633</f>
        <v>18.455115</v>
      </c>
      <c r="E13" s="42">
        <f>E12*0.623</f>
        <v>17.865771</v>
      </c>
      <c r="F13" s="42">
        <f>F12*0.63</f>
        <v>17.829629999999998</v>
      </c>
      <c r="G13" s="42">
        <f>G12*0.633</f>
        <v>17.731596</v>
      </c>
      <c r="H13" s="42">
        <f>H12*0.634</f>
        <v>17.782432</v>
      </c>
      <c r="I13" s="42">
        <f>I12*0.634</f>
        <v>17.573846</v>
      </c>
      <c r="J13" s="42">
        <f>J12*0.635</f>
        <v>17.67332</v>
      </c>
      <c r="K13" s="42">
        <f>K12*0.635</f>
        <v>17.450435000000002</v>
      </c>
      <c r="L13" s="42">
        <f>L12*0.636</f>
        <v>17.593668</v>
      </c>
    </row>
    <row r="14" spans="1:12" ht="30">
      <c r="A14" s="12"/>
      <c r="B14" s="15" t="s">
        <v>103</v>
      </c>
      <c r="C14" s="2" t="s">
        <v>101</v>
      </c>
      <c r="D14" s="42">
        <f>D12*0.139</f>
        <v>4.052545</v>
      </c>
      <c r="E14" s="42">
        <f>E12*0.149</f>
        <v>4.272873</v>
      </c>
      <c r="F14" s="42">
        <f>F12*0.144</f>
        <v>4.075343999999999</v>
      </c>
      <c r="G14" s="42">
        <f>G12*0.139</f>
        <v>3.8936680000000004</v>
      </c>
      <c r="H14" s="42">
        <f>H12*0.138</f>
        <v>3.8706240000000003</v>
      </c>
      <c r="I14" s="42">
        <f>I12*0.138</f>
        <v>3.8252220000000006</v>
      </c>
      <c r="J14" s="42">
        <f>J12*0.137</f>
        <v>3.8129840000000006</v>
      </c>
      <c r="K14" s="42">
        <f>K12*0.137</f>
        <v>3.7648970000000004</v>
      </c>
      <c r="L14" s="42">
        <f>L12*0.136</f>
        <v>3.7621680000000004</v>
      </c>
    </row>
    <row r="15" spans="1:12" ht="15">
      <c r="A15" s="12"/>
      <c r="B15" s="1" t="s">
        <v>23</v>
      </c>
      <c r="C15" s="2" t="s">
        <v>24</v>
      </c>
      <c r="D15" s="43" t="s">
        <v>157</v>
      </c>
      <c r="E15" s="43" t="s">
        <v>157</v>
      </c>
      <c r="F15" s="43" t="s">
        <v>157</v>
      </c>
      <c r="G15" s="43" t="s">
        <v>157</v>
      </c>
      <c r="H15" s="43" t="s">
        <v>157</v>
      </c>
      <c r="I15" s="43" t="s">
        <v>157</v>
      </c>
      <c r="J15" s="43" t="s">
        <v>157</v>
      </c>
      <c r="K15" s="43" t="s">
        <v>157</v>
      </c>
      <c r="L15" s="43" t="s">
        <v>157</v>
      </c>
    </row>
    <row r="16" spans="1:12" ht="15">
      <c r="A16" s="12"/>
      <c r="B16" s="1" t="s">
        <v>147</v>
      </c>
      <c r="C16" s="2" t="s">
        <v>31</v>
      </c>
      <c r="D16" s="14">
        <v>0.388</v>
      </c>
      <c r="E16" s="14">
        <v>0.316</v>
      </c>
      <c r="F16" s="14">
        <v>0.313</v>
      </c>
      <c r="G16" s="44">
        <v>0.298</v>
      </c>
      <c r="H16" s="14">
        <v>0.319</v>
      </c>
      <c r="I16" s="44">
        <v>0.305</v>
      </c>
      <c r="J16" s="14">
        <v>0.327</v>
      </c>
      <c r="K16" s="14">
        <v>0.303</v>
      </c>
      <c r="L16" s="14">
        <v>0.339</v>
      </c>
    </row>
    <row r="17" spans="1:16" ht="30">
      <c r="A17" s="12"/>
      <c r="B17" s="1" t="s">
        <v>25</v>
      </c>
      <c r="C17" s="2" t="s">
        <v>26</v>
      </c>
      <c r="D17" s="45">
        <f aca="true" t="shared" si="0" ref="D17:L17">D16/D12*1000</f>
        <v>13.308180415023152</v>
      </c>
      <c r="E17" s="45">
        <f>E16/E12*1000</f>
        <v>11.019283746556475</v>
      </c>
      <c r="F17" s="45">
        <f>F16/F12*1000</f>
        <v>11.059679869969258</v>
      </c>
      <c r="G17" s="45">
        <f t="shared" si="0"/>
        <v>10.638297872340425</v>
      </c>
      <c r="H17" s="45">
        <f t="shared" si="0"/>
        <v>11.373359954363949</v>
      </c>
      <c r="I17" s="45">
        <f t="shared" si="0"/>
        <v>11.003282946715249</v>
      </c>
      <c r="J17" s="45">
        <f t="shared" si="0"/>
        <v>11.749065823512504</v>
      </c>
      <c r="K17" s="45">
        <f t="shared" si="0"/>
        <v>11.025799643389977</v>
      </c>
      <c r="L17" s="45">
        <f t="shared" si="0"/>
        <v>12.254636156599068</v>
      </c>
      <c r="P17" s="8" t="s">
        <v>162</v>
      </c>
    </row>
    <row r="18" spans="1:12" ht="30">
      <c r="A18" s="12"/>
      <c r="B18" s="1" t="s">
        <v>104</v>
      </c>
      <c r="C18" s="2" t="s">
        <v>105</v>
      </c>
      <c r="D18" s="43" t="s">
        <v>157</v>
      </c>
      <c r="E18" s="43" t="s">
        <v>157</v>
      </c>
      <c r="F18" s="43" t="s">
        <v>157</v>
      </c>
      <c r="G18" s="43" t="s">
        <v>157</v>
      </c>
      <c r="H18" s="43" t="s">
        <v>157</v>
      </c>
      <c r="I18" s="43" t="s">
        <v>157</v>
      </c>
      <c r="J18" s="43" t="s">
        <v>157</v>
      </c>
      <c r="K18" s="43" t="s">
        <v>157</v>
      </c>
      <c r="L18" s="43" t="s">
        <v>157</v>
      </c>
    </row>
    <row r="19" spans="1:12" ht="15">
      <c r="A19" s="12"/>
      <c r="B19" s="1" t="s">
        <v>148</v>
      </c>
      <c r="C19" s="2" t="s">
        <v>31</v>
      </c>
      <c r="D19" s="14">
        <v>0.181</v>
      </c>
      <c r="E19" s="14">
        <v>0.184</v>
      </c>
      <c r="F19" s="44">
        <v>0.18</v>
      </c>
      <c r="G19" s="14">
        <v>0.198</v>
      </c>
      <c r="H19" s="14">
        <v>0.184</v>
      </c>
      <c r="I19" s="14">
        <v>0.185</v>
      </c>
      <c r="J19" s="14">
        <v>0.175</v>
      </c>
      <c r="K19" s="14">
        <v>0.185</v>
      </c>
      <c r="L19" s="44">
        <v>0.17</v>
      </c>
    </row>
    <row r="20" spans="1:12" ht="30">
      <c r="A20" s="12"/>
      <c r="B20" s="1" t="s">
        <v>27</v>
      </c>
      <c r="C20" s="2" t="s">
        <v>28</v>
      </c>
      <c r="D20" s="45">
        <f aca="true" t="shared" si="1" ref="D20:L20">D19/D12*1000</f>
        <v>6.208197564740181</v>
      </c>
      <c r="E20" s="45">
        <f>E19/E12*1000</f>
        <v>6.416291801792378</v>
      </c>
      <c r="F20" s="45">
        <f>F19/F12*1000</f>
        <v>6.360199286244302</v>
      </c>
      <c r="G20" s="45">
        <f t="shared" si="1"/>
        <v>7.068399257461088</v>
      </c>
      <c r="H20" s="45">
        <f t="shared" si="1"/>
        <v>6.560182544209925</v>
      </c>
      <c r="I20" s="45">
        <f t="shared" si="1"/>
        <v>6.674122443089577</v>
      </c>
      <c r="J20" s="45">
        <f t="shared" si="1"/>
        <v>6.287726358148893</v>
      </c>
      <c r="K20" s="45">
        <f t="shared" si="1"/>
        <v>6.731923874677049</v>
      </c>
      <c r="L20" s="45">
        <f t="shared" si="1"/>
        <v>6.1453927628962886</v>
      </c>
    </row>
    <row r="21" spans="1:12" ht="15">
      <c r="A21" s="12"/>
      <c r="B21" s="1" t="s">
        <v>149</v>
      </c>
      <c r="C21" s="2" t="s">
        <v>31</v>
      </c>
      <c r="D21" s="43">
        <f aca="true" t="shared" si="2" ref="D21:L21">D16-D19</f>
        <v>0.20700000000000002</v>
      </c>
      <c r="E21" s="43">
        <f>E16-E19</f>
        <v>0.132</v>
      </c>
      <c r="F21" s="43">
        <f t="shared" si="2"/>
        <v>0.133</v>
      </c>
      <c r="G21" s="46">
        <f t="shared" si="2"/>
        <v>0.09999999999999998</v>
      </c>
      <c r="H21" s="43">
        <f t="shared" si="2"/>
        <v>0.135</v>
      </c>
      <c r="I21" s="46">
        <f t="shared" si="2"/>
        <v>0.12</v>
      </c>
      <c r="J21" s="43">
        <f t="shared" si="2"/>
        <v>0.15200000000000002</v>
      </c>
      <c r="K21" s="43">
        <f t="shared" si="2"/>
        <v>0.118</v>
      </c>
      <c r="L21" s="43">
        <f t="shared" si="2"/>
        <v>0.169</v>
      </c>
    </row>
    <row r="22" spans="1:12" ht="30">
      <c r="A22" s="12"/>
      <c r="B22" s="1" t="s">
        <v>29</v>
      </c>
      <c r="C22" s="2" t="s">
        <v>30</v>
      </c>
      <c r="D22" s="45">
        <f>D21/D12*1000</f>
        <v>7.09998285028297</v>
      </c>
      <c r="E22" s="45">
        <f>E21/E12*1000</f>
        <v>4.602991944764097</v>
      </c>
      <c r="F22" s="45">
        <f aca="true" t="shared" si="3" ref="F22:L22">F21/F12*1000</f>
        <v>4.699480583724957</v>
      </c>
      <c r="G22" s="45">
        <f t="shared" si="3"/>
        <v>3.5698986148793366</v>
      </c>
      <c r="H22" s="45">
        <f t="shared" si="3"/>
        <v>4.813177410154022</v>
      </c>
      <c r="I22" s="45">
        <f t="shared" si="3"/>
        <v>4.329160503625672</v>
      </c>
      <c r="J22" s="45">
        <f t="shared" si="3"/>
        <v>5.461339465363611</v>
      </c>
      <c r="K22" s="45">
        <f t="shared" si="3"/>
        <v>4.293875768712929</v>
      </c>
      <c r="L22" s="45">
        <f t="shared" si="3"/>
        <v>6.10924339370278</v>
      </c>
    </row>
    <row r="23" spans="1:12" ht="15">
      <c r="A23" s="12"/>
      <c r="B23" s="1" t="s">
        <v>106</v>
      </c>
      <c r="C23" s="2" t="s">
        <v>107</v>
      </c>
      <c r="D23" s="14">
        <v>-0.676</v>
      </c>
      <c r="E23" s="14">
        <v>-0.619</v>
      </c>
      <c r="F23" s="44">
        <v>-0.4</v>
      </c>
      <c r="G23" s="44">
        <v>-0.41</v>
      </c>
      <c r="H23" s="44">
        <v>-0.373</v>
      </c>
      <c r="I23" s="14">
        <v>-0.396</v>
      </c>
      <c r="J23" s="44">
        <v>-0.347</v>
      </c>
      <c r="K23" s="14">
        <v>-0.319</v>
      </c>
      <c r="L23" s="14">
        <v>-0.311</v>
      </c>
    </row>
    <row r="24" spans="1:12" ht="15">
      <c r="A24" s="16" t="s">
        <v>109</v>
      </c>
      <c r="B24" s="17" t="s">
        <v>120</v>
      </c>
      <c r="C24" s="18"/>
      <c r="D24" s="14"/>
      <c r="E24" s="36"/>
      <c r="F24" s="14"/>
      <c r="G24" s="36"/>
      <c r="H24" s="36"/>
      <c r="I24" s="36"/>
      <c r="J24" s="36"/>
      <c r="K24" s="36"/>
      <c r="L24" s="36"/>
    </row>
    <row r="25" spans="1:12" ht="42.75">
      <c r="A25" s="18"/>
      <c r="B25" s="3" t="s">
        <v>110</v>
      </c>
      <c r="C25" s="2" t="s">
        <v>111</v>
      </c>
      <c r="D25" s="47">
        <v>32762.749591000003</v>
      </c>
      <c r="E25" s="47">
        <v>45888.17868810501</v>
      </c>
      <c r="F25" s="47">
        <v>58264.02631767573</v>
      </c>
      <c r="G25" s="47">
        <v>58755.59754131005</v>
      </c>
      <c r="H25" s="47">
        <v>67098.35259692349</v>
      </c>
      <c r="I25" s="47">
        <v>68894.57328103925</v>
      </c>
      <c r="J25" s="47">
        <v>78386.33683750746</v>
      </c>
      <c r="K25" s="47">
        <v>80866.12069896753</v>
      </c>
      <c r="L25" s="47">
        <v>92642.07728004515</v>
      </c>
    </row>
    <row r="26" spans="1:12" ht="30">
      <c r="A26" s="18"/>
      <c r="B26" s="19" t="s">
        <v>112</v>
      </c>
      <c r="C26" s="2" t="s">
        <v>5</v>
      </c>
      <c r="D26" s="20">
        <v>121.19340629026087</v>
      </c>
      <c r="E26" s="20">
        <v>119.80408037278447</v>
      </c>
      <c r="F26" s="20">
        <v>122.94277865961502</v>
      </c>
      <c r="G26" s="20">
        <v>110.92642810990553</v>
      </c>
      <c r="H26" s="20">
        <v>113.00935660429697</v>
      </c>
      <c r="I26" s="20">
        <v>111.26444271925153</v>
      </c>
      <c r="J26" s="20">
        <v>113.68085106448117</v>
      </c>
      <c r="K26" s="20">
        <v>111.17867696623395</v>
      </c>
      <c r="L26" s="20">
        <v>114.1516097597185</v>
      </c>
    </row>
    <row r="27" spans="1:12" ht="15">
      <c r="A27" s="21" t="s">
        <v>121</v>
      </c>
      <c r="B27" s="16" t="s">
        <v>113</v>
      </c>
      <c r="C27" s="2"/>
      <c r="D27" s="14"/>
      <c r="E27" s="36"/>
      <c r="F27" s="14"/>
      <c r="G27" s="36"/>
      <c r="H27" s="36"/>
      <c r="I27" s="36"/>
      <c r="J27" s="36"/>
      <c r="K27" s="36"/>
      <c r="L27" s="36"/>
    </row>
    <row r="28" spans="1:12" ht="60">
      <c r="A28" s="18"/>
      <c r="B28" s="1" t="s">
        <v>32</v>
      </c>
      <c r="C28" s="2" t="s">
        <v>111</v>
      </c>
      <c r="D28" s="47">
        <v>30482.608182000004</v>
      </c>
      <c r="E28" s="47">
        <v>43711.8292</v>
      </c>
      <c r="F28" s="47">
        <v>55934.242399999996</v>
      </c>
      <c r="G28" s="47">
        <v>56330.6485325952</v>
      </c>
      <c r="H28" s="47">
        <v>64666.29576550079</v>
      </c>
      <c r="I28" s="47">
        <v>66354.85214075245</v>
      </c>
      <c r="J28" s="47">
        <v>75831.80035249155</v>
      </c>
      <c r="K28" s="47">
        <v>78207.10004986088</v>
      </c>
      <c r="L28" s="47">
        <v>89957.25533585498</v>
      </c>
    </row>
    <row r="29" spans="1:12" ht="30">
      <c r="A29" s="18"/>
      <c r="B29" s="1" t="s">
        <v>33</v>
      </c>
      <c r="C29" s="2" t="s">
        <v>5</v>
      </c>
      <c r="D29" s="20">
        <v>125.949367088608</v>
      </c>
      <c r="E29" s="20">
        <v>122.04190843461025</v>
      </c>
      <c r="F29" s="20">
        <v>123.99363247120026</v>
      </c>
      <c r="G29" s="20">
        <v>111.52648585316255</v>
      </c>
      <c r="H29" s="20">
        <v>113.56702241657355</v>
      </c>
      <c r="I29" s="20">
        <v>111.76023820704218</v>
      </c>
      <c r="J29" s="20">
        <v>114.18336585993383</v>
      </c>
      <c r="K29" s="20">
        <v>111.61166465653723</v>
      </c>
      <c r="L29" s="20">
        <v>114.61578260562572</v>
      </c>
    </row>
    <row r="30" spans="1:12" ht="15">
      <c r="A30" s="21" t="s">
        <v>122</v>
      </c>
      <c r="B30" s="16" t="s">
        <v>114</v>
      </c>
      <c r="C30" s="4"/>
      <c r="D30" s="14"/>
      <c r="E30" s="36"/>
      <c r="F30" s="14"/>
      <c r="G30" s="36"/>
      <c r="H30" s="36"/>
      <c r="I30" s="36"/>
      <c r="J30" s="36"/>
      <c r="K30" s="36"/>
      <c r="L30" s="36"/>
    </row>
    <row r="31" spans="1:12" ht="60">
      <c r="A31" s="18"/>
      <c r="B31" s="1" t="s">
        <v>34</v>
      </c>
      <c r="C31" s="22" t="s">
        <v>111</v>
      </c>
      <c r="D31" s="47">
        <v>1138.3774090000002</v>
      </c>
      <c r="E31" s="47">
        <v>1011.9320881049999</v>
      </c>
      <c r="F31" s="47">
        <v>1108.4396666757286</v>
      </c>
      <c r="G31" s="47">
        <v>1169.3428138414843</v>
      </c>
      <c r="H31" s="47">
        <v>1171.0854096051205</v>
      </c>
      <c r="I31" s="47">
        <v>1235.8332217143916</v>
      </c>
      <c r="J31" s="47">
        <v>1238.4744308108648</v>
      </c>
      <c r="K31" s="47">
        <v>1306.147132960922</v>
      </c>
      <c r="L31" s="47">
        <v>1311.2594322314326</v>
      </c>
    </row>
    <row r="32" spans="1:12" ht="30">
      <c r="A32" s="18"/>
      <c r="B32" s="1" t="s">
        <v>35</v>
      </c>
      <c r="C32" s="22" t="s">
        <v>5</v>
      </c>
      <c r="D32" s="20">
        <v>81.67547740068414</v>
      </c>
      <c r="E32" s="20">
        <v>84.74022458633416</v>
      </c>
      <c r="F32" s="20">
        <v>104.15297526708191</v>
      </c>
      <c r="G32" s="20">
        <v>100.00370219759654</v>
      </c>
      <c r="H32" s="20">
        <v>100.74826423827561</v>
      </c>
      <c r="I32" s="20">
        <v>100.19328612051</v>
      </c>
      <c r="J32" s="20">
        <v>100.76542212853849</v>
      </c>
      <c r="K32" s="20">
        <v>100.38574814606753</v>
      </c>
      <c r="L32" s="20">
        <v>100.77690972292048</v>
      </c>
    </row>
    <row r="33" spans="1:12" ht="28.5">
      <c r="A33" s="21" t="s">
        <v>119</v>
      </c>
      <c r="B33" s="16" t="s">
        <v>115</v>
      </c>
      <c r="C33" s="22"/>
      <c r="D33" s="14"/>
      <c r="E33" s="36"/>
      <c r="F33" s="14"/>
      <c r="G33" s="36"/>
      <c r="H33" s="36"/>
      <c r="I33" s="36"/>
      <c r="J33" s="36"/>
      <c r="K33" s="36"/>
      <c r="L33" s="36"/>
    </row>
    <row r="34" spans="1:12" ht="75">
      <c r="A34" s="18"/>
      <c r="B34" s="1" t="s">
        <v>116</v>
      </c>
      <c r="C34" s="22" t="s">
        <v>111</v>
      </c>
      <c r="D34" s="47">
        <v>1003.8587</v>
      </c>
      <c r="E34" s="47">
        <v>1021.5117</v>
      </c>
      <c r="F34" s="47">
        <v>1072.122251</v>
      </c>
      <c r="G34" s="47">
        <v>1113.799931385374</v>
      </c>
      <c r="H34" s="47">
        <v>1118.311421817582</v>
      </c>
      <c r="I34" s="47">
        <v>1157.14679711503</v>
      </c>
      <c r="J34" s="47">
        <v>1167.6960542050465</v>
      </c>
      <c r="K34" s="47">
        <v>1201.025803661632</v>
      </c>
      <c r="L34" s="47">
        <v>1219.2615119587415</v>
      </c>
    </row>
    <row r="35" spans="1:12" ht="45">
      <c r="A35" s="18"/>
      <c r="B35" s="1" t="s">
        <v>36</v>
      </c>
      <c r="C35" s="22" t="s">
        <v>5</v>
      </c>
      <c r="D35" s="20">
        <v>88.67943787442654</v>
      </c>
      <c r="E35" s="20">
        <v>97.56329282876891</v>
      </c>
      <c r="F35" s="20">
        <v>100.72406516388244</v>
      </c>
      <c r="G35" s="20">
        <v>99.7</v>
      </c>
      <c r="H35" s="20">
        <v>100.2</v>
      </c>
      <c r="I35" s="20">
        <v>99.8</v>
      </c>
      <c r="J35" s="20">
        <v>100.4</v>
      </c>
      <c r="K35" s="20">
        <v>99.8</v>
      </c>
      <c r="L35" s="20">
        <v>100.4</v>
      </c>
    </row>
    <row r="36" spans="1:12" ht="42.75">
      <c r="A36" s="21" t="s">
        <v>123</v>
      </c>
      <c r="B36" s="16" t="s">
        <v>37</v>
      </c>
      <c r="C36" s="22"/>
      <c r="D36" s="14"/>
      <c r="E36" s="36"/>
      <c r="F36" s="14"/>
      <c r="G36" s="36"/>
      <c r="H36" s="36"/>
      <c r="I36" s="36"/>
      <c r="J36" s="36"/>
      <c r="K36" s="36"/>
      <c r="L36" s="36"/>
    </row>
    <row r="37" spans="1:12" ht="75">
      <c r="A37" s="18"/>
      <c r="B37" s="1" t="s">
        <v>38</v>
      </c>
      <c r="C37" s="22" t="s">
        <v>111</v>
      </c>
      <c r="D37" s="47">
        <v>137.9053</v>
      </c>
      <c r="E37" s="47">
        <v>142.9057</v>
      </c>
      <c r="F37" s="47">
        <v>149.222</v>
      </c>
      <c r="G37" s="47">
        <v>141.806263488</v>
      </c>
      <c r="H37" s="47">
        <v>142.66</v>
      </c>
      <c r="I37" s="47">
        <v>146.7411214573824</v>
      </c>
      <c r="J37" s="47">
        <v>148.366</v>
      </c>
      <c r="K37" s="47">
        <v>151.84771248409933</v>
      </c>
      <c r="L37" s="47">
        <v>154.301</v>
      </c>
    </row>
    <row r="38" spans="1:12" ht="45">
      <c r="A38" s="18"/>
      <c r="B38" s="1" t="s">
        <v>39</v>
      </c>
      <c r="C38" s="22" t="s">
        <v>5</v>
      </c>
      <c r="D38" s="20">
        <v>92.42840090266706</v>
      </c>
      <c r="E38" s="20">
        <v>97.66820595165171</v>
      </c>
      <c r="F38" s="20">
        <v>98.13901097122351</v>
      </c>
      <c r="G38" s="20">
        <v>91.2</v>
      </c>
      <c r="H38" s="20">
        <v>91.74906439235659</v>
      </c>
      <c r="I38" s="20">
        <v>99.5</v>
      </c>
      <c r="J38" s="20">
        <v>99.9997303971789</v>
      </c>
      <c r="K38" s="20">
        <v>99.5</v>
      </c>
      <c r="L38" s="20">
        <v>100.00023331076267</v>
      </c>
    </row>
    <row r="39" spans="1:12" ht="15">
      <c r="A39" s="21" t="s">
        <v>108</v>
      </c>
      <c r="B39" s="17" t="s">
        <v>124</v>
      </c>
      <c r="C39" s="22"/>
      <c r="D39" s="14"/>
      <c r="E39" s="36"/>
      <c r="F39" s="14"/>
      <c r="G39" s="36"/>
      <c r="H39" s="36"/>
      <c r="I39" s="36"/>
      <c r="J39" s="36"/>
      <c r="K39" s="36"/>
      <c r="L39" s="36"/>
    </row>
    <row r="40" spans="1:12" ht="15">
      <c r="A40" s="18"/>
      <c r="B40" s="23" t="s">
        <v>1</v>
      </c>
      <c r="C40" s="23" t="s">
        <v>2</v>
      </c>
      <c r="D40" s="47">
        <v>214.543</v>
      </c>
      <c r="E40" s="47">
        <v>320.082</v>
      </c>
      <c r="F40" s="47">
        <v>344.784747488</v>
      </c>
      <c r="G40" s="47">
        <v>356.24004023155555</v>
      </c>
      <c r="H40" s="47">
        <v>357.1963923574299</v>
      </c>
      <c r="I40" s="47">
        <v>366.15994853424155</v>
      </c>
      <c r="J40" s="47">
        <v>367.9658099084699</v>
      </c>
      <c r="K40" s="47">
        <v>379.94148276528585</v>
      </c>
      <c r="L40" s="47">
        <v>382.3412250367343</v>
      </c>
    </row>
    <row r="41" spans="1:12" ht="30">
      <c r="A41" s="18"/>
      <c r="B41" s="19" t="s">
        <v>3</v>
      </c>
      <c r="C41" s="22" t="s">
        <v>5</v>
      </c>
      <c r="D41" s="20">
        <v>97.4</v>
      </c>
      <c r="E41" s="20">
        <v>142.6</v>
      </c>
      <c r="F41" s="20">
        <v>99.13810013602847</v>
      </c>
      <c r="G41" s="20">
        <v>98.48796877564035</v>
      </c>
      <c r="H41" s="20">
        <v>99.9152686605939</v>
      </c>
      <c r="I41" s="20">
        <v>98.60826642068643</v>
      </c>
      <c r="J41" s="20">
        <v>99.93663348447915</v>
      </c>
      <c r="K41" s="20">
        <v>99.56462006106906</v>
      </c>
      <c r="L41" s="20">
        <v>99.9826982111005</v>
      </c>
    </row>
    <row r="42" spans="1:12" ht="30">
      <c r="A42" s="18"/>
      <c r="B42" s="19" t="s">
        <v>40</v>
      </c>
      <c r="C42" s="22"/>
      <c r="D42" s="32"/>
      <c r="E42" s="48"/>
      <c r="F42" s="32"/>
      <c r="G42" s="48"/>
      <c r="H42" s="48"/>
      <c r="I42" s="48"/>
      <c r="J42" s="48"/>
      <c r="K42" s="48"/>
      <c r="L42" s="48"/>
    </row>
    <row r="43" spans="1:12" ht="15">
      <c r="A43" s="18"/>
      <c r="B43" s="19" t="s">
        <v>41</v>
      </c>
      <c r="C43" s="22" t="s">
        <v>117</v>
      </c>
      <c r="D43" s="47">
        <v>93.081</v>
      </c>
      <c r="E43" s="47">
        <v>187.948</v>
      </c>
      <c r="F43" s="47">
        <v>203.684134248</v>
      </c>
      <c r="G43" s="47">
        <v>210.38941594744418</v>
      </c>
      <c r="H43" s="47">
        <v>210.3987854176196</v>
      </c>
      <c r="I43" s="47">
        <v>215.3854071742986</v>
      </c>
      <c r="J43" s="47">
        <v>215.44309629800702</v>
      </c>
      <c r="K43" s="47">
        <v>223.29909780469666</v>
      </c>
      <c r="L43" s="47">
        <v>223.40630402337396</v>
      </c>
    </row>
    <row r="44" spans="1:12" ht="30">
      <c r="A44" s="18"/>
      <c r="B44" s="19" t="s">
        <v>42</v>
      </c>
      <c r="C44" s="22" t="s">
        <v>5</v>
      </c>
      <c r="D44" s="20">
        <v>104.1</v>
      </c>
      <c r="E44" s="20">
        <v>197.8</v>
      </c>
      <c r="F44" s="20">
        <v>98.7</v>
      </c>
      <c r="G44" s="20">
        <v>98</v>
      </c>
      <c r="H44" s="20">
        <v>99.9</v>
      </c>
      <c r="I44" s="20">
        <v>98.06</v>
      </c>
      <c r="J44" s="20">
        <v>99.9</v>
      </c>
      <c r="K44" s="20">
        <v>99.4</v>
      </c>
      <c r="L44" s="20">
        <v>99.9</v>
      </c>
    </row>
    <row r="45" spans="1:12" ht="15">
      <c r="A45" s="18"/>
      <c r="B45" s="19" t="s">
        <v>43</v>
      </c>
      <c r="C45" s="22" t="s">
        <v>117</v>
      </c>
      <c r="D45" s="47">
        <v>121.462</v>
      </c>
      <c r="E45" s="47">
        <v>132.13400000000001</v>
      </c>
      <c r="F45" s="47">
        <v>141.10061324</v>
      </c>
      <c r="G45" s="47">
        <v>145.85062428411135</v>
      </c>
      <c r="H45" s="47">
        <v>146.7976069398103</v>
      </c>
      <c r="I45" s="47">
        <v>150.77454135994296</v>
      </c>
      <c r="J45" s="47">
        <v>152.5227136104629</v>
      </c>
      <c r="K45" s="47">
        <v>156.6423849605892</v>
      </c>
      <c r="L45" s="47">
        <v>158.93492101336034</v>
      </c>
    </row>
    <row r="46" spans="1:12" ht="30">
      <c r="A46" s="18"/>
      <c r="B46" s="19" t="s">
        <v>44</v>
      </c>
      <c r="C46" s="22" t="s">
        <v>5</v>
      </c>
      <c r="D46" s="20">
        <v>92.9</v>
      </c>
      <c r="E46" s="20">
        <v>97</v>
      </c>
      <c r="F46" s="20">
        <v>99.8</v>
      </c>
      <c r="G46" s="20">
        <v>99.2</v>
      </c>
      <c r="H46" s="20">
        <v>99.94</v>
      </c>
      <c r="I46" s="20">
        <v>99.4</v>
      </c>
      <c r="J46" s="20">
        <v>100</v>
      </c>
      <c r="K46" s="20">
        <v>99.8</v>
      </c>
      <c r="L46" s="20">
        <v>100.1</v>
      </c>
    </row>
    <row r="47" spans="1:12" ht="28.5">
      <c r="A47" s="21" t="s">
        <v>125</v>
      </c>
      <c r="B47" s="17" t="s">
        <v>126</v>
      </c>
      <c r="C47" s="22"/>
      <c r="D47" s="14"/>
      <c r="E47" s="36"/>
      <c r="F47" s="14"/>
      <c r="G47" s="36"/>
      <c r="H47" s="36"/>
      <c r="I47" s="36"/>
      <c r="J47" s="36"/>
      <c r="K47" s="36"/>
      <c r="L47" s="36"/>
    </row>
    <row r="48" spans="1:12" ht="15">
      <c r="A48" s="18"/>
      <c r="B48" s="19" t="s">
        <v>47</v>
      </c>
      <c r="C48" s="22" t="s">
        <v>46</v>
      </c>
      <c r="D48" s="47">
        <v>1.922</v>
      </c>
      <c r="E48" s="47">
        <v>1.179207</v>
      </c>
      <c r="F48" s="47">
        <v>1.19099907</v>
      </c>
      <c r="G48" s="47">
        <v>1.1945720672099998</v>
      </c>
      <c r="H48" s="47">
        <v>1.2</v>
      </c>
      <c r="I48" s="47">
        <v>1.1981557834116296</v>
      </c>
      <c r="J48" s="47">
        <v>1.208</v>
      </c>
      <c r="K48" s="47">
        <v>1.2017502507618645</v>
      </c>
      <c r="L48" s="47">
        <v>1.215</v>
      </c>
    </row>
    <row r="49" spans="1:12" ht="15">
      <c r="A49" s="18"/>
      <c r="B49" s="19" t="s">
        <v>48</v>
      </c>
      <c r="C49" s="22" t="s">
        <v>46</v>
      </c>
      <c r="D49" s="47">
        <v>0.3512</v>
      </c>
      <c r="E49" s="47">
        <v>0.553554</v>
      </c>
      <c r="F49" s="47">
        <v>0.555</v>
      </c>
      <c r="G49" s="47">
        <v>0.5541</v>
      </c>
      <c r="H49" s="47">
        <v>0.56</v>
      </c>
      <c r="I49" s="47">
        <v>0.557</v>
      </c>
      <c r="J49" s="47">
        <v>0.562</v>
      </c>
      <c r="K49" s="47">
        <v>0.56</v>
      </c>
      <c r="L49" s="47">
        <v>0.565</v>
      </c>
    </row>
    <row r="50" spans="1:12" ht="15">
      <c r="A50" s="18"/>
      <c r="B50" s="19" t="s">
        <v>49</v>
      </c>
      <c r="C50" s="22" t="s">
        <v>46</v>
      </c>
      <c r="D50" s="47">
        <v>0.31</v>
      </c>
      <c r="E50" s="47">
        <v>0.259</v>
      </c>
      <c r="F50" s="47">
        <v>0.265</v>
      </c>
      <c r="G50" s="47">
        <v>0.268</v>
      </c>
      <c r="H50" s="47">
        <v>0.272</v>
      </c>
      <c r="I50" s="47">
        <v>0.274</v>
      </c>
      <c r="J50" s="47">
        <v>0.28</v>
      </c>
      <c r="K50" s="47">
        <v>0.278</v>
      </c>
      <c r="L50" s="47">
        <v>0.286</v>
      </c>
    </row>
    <row r="51" spans="1:12" ht="15">
      <c r="A51" s="18"/>
      <c r="B51" s="19" t="s">
        <v>50</v>
      </c>
      <c r="C51" s="22" t="s">
        <v>46</v>
      </c>
      <c r="D51" s="47">
        <v>1.151</v>
      </c>
      <c r="E51" s="47">
        <v>1.136</v>
      </c>
      <c r="F51" s="47">
        <v>1.085</v>
      </c>
      <c r="G51" s="47">
        <v>1.06</v>
      </c>
      <c r="H51" s="47">
        <v>1.1</v>
      </c>
      <c r="I51" s="47">
        <v>1.11</v>
      </c>
      <c r="J51" s="47">
        <v>1.15</v>
      </c>
      <c r="K51" s="47">
        <v>1.1300000000000001</v>
      </c>
      <c r="L51" s="47">
        <v>1.17</v>
      </c>
    </row>
    <row r="52" spans="1:12" ht="15">
      <c r="A52" s="18"/>
      <c r="B52" s="19" t="s">
        <v>51</v>
      </c>
      <c r="C52" s="22" t="s">
        <v>118</v>
      </c>
      <c r="D52" s="47">
        <v>1.424</v>
      </c>
      <c r="E52" s="47">
        <v>1.806</v>
      </c>
      <c r="F52" s="47">
        <v>0.55</v>
      </c>
      <c r="G52" s="47">
        <v>1.6</v>
      </c>
      <c r="H52" s="47">
        <v>1.6</v>
      </c>
      <c r="I52" s="47">
        <v>0.9</v>
      </c>
      <c r="J52" s="47">
        <v>0.9</v>
      </c>
      <c r="K52" s="47">
        <v>1.6</v>
      </c>
      <c r="L52" s="47">
        <v>1.6</v>
      </c>
    </row>
    <row r="53" spans="1:12" ht="15">
      <c r="A53" s="18"/>
      <c r="B53" s="19" t="s">
        <v>52</v>
      </c>
      <c r="C53" s="22" t="s">
        <v>46</v>
      </c>
      <c r="D53" s="20">
        <v>2463.947</v>
      </c>
      <c r="E53" s="20">
        <f>2224.965+351.6</f>
        <v>2576.565</v>
      </c>
      <c r="F53" s="20">
        <f>2475.059+466.4</f>
        <v>2941.4590000000003</v>
      </c>
      <c r="G53" s="20">
        <f>H53</f>
        <v>3015.2129999999997</v>
      </c>
      <c r="H53" s="20">
        <f>2372.613+642.6</f>
        <v>3015.2129999999997</v>
      </c>
      <c r="I53" s="20">
        <f>J53</f>
        <v>3261.505</v>
      </c>
      <c r="J53" s="20">
        <f>2347.205+914.3</f>
        <v>3261.505</v>
      </c>
      <c r="K53" s="20">
        <f>L53</f>
        <v>3265.1800000000003</v>
      </c>
      <c r="L53" s="20">
        <f>2178.38+1086.8</f>
        <v>3265.1800000000003</v>
      </c>
    </row>
    <row r="54" spans="1:12" ht="15">
      <c r="A54" s="18"/>
      <c r="B54" s="19" t="s">
        <v>53</v>
      </c>
      <c r="C54" s="22" t="s">
        <v>173</v>
      </c>
      <c r="D54" s="20">
        <v>228.694</v>
      </c>
      <c r="E54" s="20">
        <f>199.147+33</f>
        <v>232.147</v>
      </c>
      <c r="F54" s="20">
        <f>218.9+43.9</f>
        <v>262.8</v>
      </c>
      <c r="G54" s="20">
        <f>H54</f>
        <v>273</v>
      </c>
      <c r="H54" s="20">
        <f>209.7+63.3</f>
        <v>273</v>
      </c>
      <c r="I54" s="20">
        <f>J54</f>
        <v>296.9</v>
      </c>
      <c r="J54" s="20">
        <f>206.8+90.1</f>
        <v>296.9</v>
      </c>
      <c r="K54" s="20">
        <f>L54</f>
        <v>297.1</v>
      </c>
      <c r="L54" s="20">
        <f>190.1+107</f>
        <v>297.1</v>
      </c>
    </row>
    <row r="55" spans="1:12" ht="15">
      <c r="A55" s="21" t="s">
        <v>127</v>
      </c>
      <c r="B55" s="24" t="s">
        <v>128</v>
      </c>
      <c r="C55" s="31"/>
      <c r="D55" s="25"/>
      <c r="E55" s="37"/>
      <c r="F55" s="25"/>
      <c r="G55" s="37"/>
      <c r="H55" s="37"/>
      <c r="I55" s="37"/>
      <c r="J55" s="37"/>
      <c r="K55" s="37"/>
      <c r="L55" s="37"/>
    </row>
    <row r="56" spans="1:12" ht="45">
      <c r="A56" s="26"/>
      <c r="B56" s="31" t="s">
        <v>54</v>
      </c>
      <c r="C56" s="31" t="s">
        <v>45</v>
      </c>
      <c r="D56" s="49">
        <v>2125.515</v>
      </c>
      <c r="E56" s="49">
        <v>1762.8</v>
      </c>
      <c r="F56" s="49">
        <v>1885.5</v>
      </c>
      <c r="G56" s="49">
        <v>1718.14302</v>
      </c>
      <c r="H56" s="49">
        <v>1911.644343</v>
      </c>
      <c r="I56" s="49">
        <v>1699.157539629</v>
      </c>
      <c r="J56" s="49">
        <v>2081.5627620718974</v>
      </c>
      <c r="K56" s="49">
        <v>1748.3124680929272</v>
      </c>
      <c r="L56" s="49">
        <v>2299.29630854738</v>
      </c>
    </row>
    <row r="57" spans="1:12" ht="30">
      <c r="A57" s="26"/>
      <c r="B57" s="31" t="s">
        <v>55</v>
      </c>
      <c r="C57" s="31" t="s">
        <v>5</v>
      </c>
      <c r="D57" s="49">
        <v>65.6</v>
      </c>
      <c r="E57" s="49">
        <v>78.83573624460631</v>
      </c>
      <c r="F57" s="49">
        <v>99.77660201375694</v>
      </c>
      <c r="G57" s="49">
        <v>87.2</v>
      </c>
      <c r="H57" s="49">
        <v>97.3</v>
      </c>
      <c r="I57" s="49">
        <v>95</v>
      </c>
      <c r="J57" s="49">
        <v>104.6</v>
      </c>
      <c r="K57" s="49">
        <v>97.9</v>
      </c>
      <c r="L57" s="49">
        <v>105.1</v>
      </c>
    </row>
    <row r="58" spans="1:12" ht="30">
      <c r="A58" s="26"/>
      <c r="B58" s="31" t="s">
        <v>170</v>
      </c>
      <c r="C58" s="31" t="s">
        <v>6</v>
      </c>
      <c r="D58" s="49">
        <v>7.661</v>
      </c>
      <c r="E58" s="49">
        <v>9.336</v>
      </c>
      <c r="F58" s="49">
        <v>2</v>
      </c>
      <c r="G58" s="49">
        <v>10.6</v>
      </c>
      <c r="H58" s="49">
        <v>10.6</v>
      </c>
      <c r="I58" s="49">
        <v>11.7</v>
      </c>
      <c r="J58" s="49">
        <v>11.7</v>
      </c>
      <c r="K58" s="49">
        <v>13.3</v>
      </c>
      <c r="L58" s="49">
        <v>13.3</v>
      </c>
    </row>
    <row r="59" spans="1:12" ht="15">
      <c r="A59" s="26"/>
      <c r="B59" s="31" t="s">
        <v>56</v>
      </c>
      <c r="C59" s="31" t="s">
        <v>7</v>
      </c>
      <c r="D59" s="49">
        <v>14</v>
      </c>
      <c r="E59" s="49">
        <v>13</v>
      </c>
      <c r="F59" s="49">
        <v>100</v>
      </c>
      <c r="G59" s="49">
        <v>16</v>
      </c>
      <c r="H59" s="49">
        <v>16</v>
      </c>
      <c r="I59" s="49">
        <v>10.25</v>
      </c>
      <c r="J59" s="49">
        <v>10.25</v>
      </c>
      <c r="K59" s="49">
        <v>11.6</v>
      </c>
      <c r="L59" s="49">
        <v>11.6</v>
      </c>
    </row>
    <row r="60" spans="1:12" ht="15">
      <c r="A60" s="18" t="s">
        <v>129</v>
      </c>
      <c r="B60" s="24" t="s">
        <v>130</v>
      </c>
      <c r="C60" s="31"/>
      <c r="D60" s="25"/>
      <c r="E60" s="37"/>
      <c r="F60" s="25"/>
      <c r="G60" s="37"/>
      <c r="H60" s="37"/>
      <c r="I60" s="37"/>
      <c r="J60" s="37"/>
      <c r="K60" s="37"/>
      <c r="L60" s="37"/>
    </row>
    <row r="61" spans="1:12" ht="16.5" customHeight="1">
      <c r="A61" s="18"/>
      <c r="B61" s="28" t="s">
        <v>168</v>
      </c>
      <c r="C61" s="29" t="s">
        <v>169</v>
      </c>
      <c r="D61" s="50">
        <v>102.5</v>
      </c>
      <c r="E61" s="50">
        <v>102.9</v>
      </c>
      <c r="F61" s="50">
        <v>104.7</v>
      </c>
      <c r="G61" s="50">
        <v>103.1</v>
      </c>
      <c r="H61" s="50">
        <v>103</v>
      </c>
      <c r="I61" s="50">
        <v>103.8</v>
      </c>
      <c r="J61" s="50">
        <v>103.7</v>
      </c>
      <c r="K61" s="50">
        <v>104</v>
      </c>
      <c r="L61" s="50">
        <v>104</v>
      </c>
    </row>
    <row r="62" spans="1:12" ht="16.5" customHeight="1">
      <c r="A62" s="18" t="s">
        <v>131</v>
      </c>
      <c r="B62" s="30" t="s">
        <v>8</v>
      </c>
      <c r="C62" s="30" t="s">
        <v>2</v>
      </c>
      <c r="D62" s="51">
        <v>6788.29527931211</v>
      </c>
      <c r="E62" s="51">
        <v>7152.5552039999975</v>
      </c>
      <c r="F62" s="51">
        <v>7652.647558753269</v>
      </c>
      <c r="G62" s="51">
        <v>8031.897466469963</v>
      </c>
      <c r="H62" s="51">
        <v>8055.635979197216</v>
      </c>
      <c r="I62" s="51">
        <v>8445.861461891824</v>
      </c>
      <c r="J62" s="51">
        <v>8537.68523619238</v>
      </c>
      <c r="K62" s="51">
        <v>8897.123839800703</v>
      </c>
      <c r="L62" s="51">
        <v>9082.901815375624</v>
      </c>
    </row>
    <row r="63" spans="1:12" ht="30">
      <c r="A63" s="18"/>
      <c r="B63" s="31" t="s">
        <v>8</v>
      </c>
      <c r="C63" s="31" t="s">
        <v>5</v>
      </c>
      <c r="D63" s="20">
        <v>100.8</v>
      </c>
      <c r="E63" s="20">
        <v>102</v>
      </c>
      <c r="F63" s="20">
        <v>101.8</v>
      </c>
      <c r="G63" s="20">
        <v>101.8</v>
      </c>
      <c r="H63" s="20">
        <v>102.2</v>
      </c>
      <c r="I63" s="20">
        <v>101.5</v>
      </c>
      <c r="J63" s="20">
        <v>102.4</v>
      </c>
      <c r="K63" s="20">
        <v>101</v>
      </c>
      <c r="L63" s="20">
        <v>102</v>
      </c>
    </row>
    <row r="64" spans="1:12" ht="17.25" customHeight="1">
      <c r="A64" s="18" t="s">
        <v>132</v>
      </c>
      <c r="B64" s="31" t="s">
        <v>57</v>
      </c>
      <c r="C64" s="31" t="s">
        <v>2</v>
      </c>
      <c r="D64" s="47">
        <v>768.985937806445</v>
      </c>
      <c r="E64" s="47">
        <v>803.1558279528745</v>
      </c>
      <c r="F64" s="47">
        <v>849.3131933853261</v>
      </c>
      <c r="G64" s="47">
        <v>882.6470375993133</v>
      </c>
      <c r="H64" s="47">
        <v>885.2901002571286</v>
      </c>
      <c r="I64" s="47">
        <v>925.349501278368</v>
      </c>
      <c r="J64" s="47">
        <v>930.8984756421754</v>
      </c>
      <c r="K64" s="47">
        <v>971.9871161427978</v>
      </c>
      <c r="L64" s="47">
        <v>981.6882964732125</v>
      </c>
    </row>
    <row r="65" spans="1:12" ht="30">
      <c r="A65" s="18"/>
      <c r="B65" s="31" t="s">
        <v>57</v>
      </c>
      <c r="C65" s="31" t="s">
        <v>5</v>
      </c>
      <c r="D65" s="20">
        <v>100.4</v>
      </c>
      <c r="E65" s="20">
        <v>101.5</v>
      </c>
      <c r="F65" s="20">
        <v>101</v>
      </c>
      <c r="G65" s="20">
        <v>100.8</v>
      </c>
      <c r="H65" s="20">
        <v>101.2</v>
      </c>
      <c r="I65" s="20">
        <v>101</v>
      </c>
      <c r="J65" s="20">
        <v>101.4</v>
      </c>
      <c r="K65" s="20">
        <v>101</v>
      </c>
      <c r="L65" s="20">
        <v>101.4</v>
      </c>
    </row>
    <row r="66" spans="1:12" ht="17.25" customHeight="1">
      <c r="A66" s="18" t="s">
        <v>133</v>
      </c>
      <c r="B66" s="31" t="s">
        <v>9</v>
      </c>
      <c r="C66" s="31" t="s">
        <v>2</v>
      </c>
      <c r="D66" s="47">
        <v>1596.604015012765</v>
      </c>
      <c r="E66" s="47">
        <v>1700.3433608882196</v>
      </c>
      <c r="F66" s="47">
        <v>1810.4150883553189</v>
      </c>
      <c r="G66" s="47">
        <v>1907.475062072224</v>
      </c>
      <c r="H66" s="47">
        <v>1916.8765476260533</v>
      </c>
      <c r="I66" s="47">
        <v>2031.2759160258975</v>
      </c>
      <c r="J66" s="47">
        <v>2047.3199966920063</v>
      </c>
      <c r="K66" s="47">
        <v>2152.7055902859256</v>
      </c>
      <c r="L66" s="47">
        <v>2182.4717789536326</v>
      </c>
    </row>
    <row r="67" spans="1:12" ht="30">
      <c r="A67" s="18"/>
      <c r="B67" s="31" t="s">
        <v>9</v>
      </c>
      <c r="C67" s="31" t="s">
        <v>5</v>
      </c>
      <c r="D67" s="20">
        <v>101.1</v>
      </c>
      <c r="E67" s="20">
        <v>102.5</v>
      </c>
      <c r="F67" s="20">
        <v>101.5</v>
      </c>
      <c r="G67" s="20">
        <v>101.7</v>
      </c>
      <c r="H67" s="20">
        <v>102.3</v>
      </c>
      <c r="I67" s="20">
        <v>102.1</v>
      </c>
      <c r="J67" s="20">
        <v>102.5</v>
      </c>
      <c r="K67" s="20">
        <v>102</v>
      </c>
      <c r="L67" s="20">
        <v>102.6</v>
      </c>
    </row>
    <row r="68" spans="1:12" ht="28.5">
      <c r="A68" s="21" t="s">
        <v>134</v>
      </c>
      <c r="B68" s="24" t="s">
        <v>135</v>
      </c>
      <c r="C68" s="31"/>
      <c r="D68" s="25"/>
      <c r="E68" s="37"/>
      <c r="F68" s="25"/>
      <c r="G68" s="37"/>
      <c r="H68" s="37"/>
      <c r="I68" s="37"/>
      <c r="J68" s="37"/>
      <c r="K68" s="37"/>
      <c r="L68" s="37"/>
    </row>
    <row r="69" spans="1:12" ht="30">
      <c r="A69" s="26"/>
      <c r="B69" s="31" t="s">
        <v>160</v>
      </c>
      <c r="C69" s="31" t="s">
        <v>10</v>
      </c>
      <c r="D69" s="52">
        <v>1050</v>
      </c>
      <c r="E69" s="52">
        <v>1050</v>
      </c>
      <c r="F69" s="52">
        <v>1050</v>
      </c>
      <c r="G69" s="52">
        <v>1050</v>
      </c>
      <c r="H69" s="52">
        <v>1051</v>
      </c>
      <c r="I69" s="52">
        <v>1050</v>
      </c>
      <c r="J69" s="52">
        <v>1052</v>
      </c>
      <c r="K69" s="52">
        <v>1050</v>
      </c>
      <c r="L69" s="52">
        <v>1053</v>
      </c>
    </row>
    <row r="70" spans="1:12" ht="45">
      <c r="A70" s="26"/>
      <c r="B70" s="31" t="s">
        <v>161</v>
      </c>
      <c r="C70" s="31" t="s">
        <v>87</v>
      </c>
      <c r="D70" s="52">
        <v>4160</v>
      </c>
      <c r="E70" s="52">
        <v>4160</v>
      </c>
      <c r="F70" s="52">
        <v>4160</v>
      </c>
      <c r="G70" s="52">
        <v>4160</v>
      </c>
      <c r="H70" s="52">
        <v>4162</v>
      </c>
      <c r="I70" s="52">
        <v>4162</v>
      </c>
      <c r="J70" s="52">
        <v>4164</v>
      </c>
      <c r="K70" s="52">
        <v>4164</v>
      </c>
      <c r="L70" s="52">
        <v>4166</v>
      </c>
    </row>
    <row r="71" spans="1:12" ht="15">
      <c r="A71" s="21" t="s">
        <v>138</v>
      </c>
      <c r="B71" s="24" t="s">
        <v>137</v>
      </c>
      <c r="C71" s="31"/>
      <c r="D71" s="25"/>
      <c r="E71" s="37"/>
      <c r="F71" s="25"/>
      <c r="G71" s="37"/>
      <c r="H71" s="37"/>
      <c r="I71" s="37"/>
      <c r="J71" s="37"/>
      <c r="K71" s="37"/>
      <c r="L71" s="37"/>
    </row>
    <row r="72" spans="1:12" ht="45">
      <c r="A72" s="26"/>
      <c r="B72" s="31" t="s">
        <v>11</v>
      </c>
      <c r="C72" s="31" t="s">
        <v>4</v>
      </c>
      <c r="D72" s="53">
        <v>16247.080000000005</v>
      </c>
      <c r="E72" s="53">
        <v>16540.221999999998</v>
      </c>
      <c r="F72" s="53">
        <v>16968.307</v>
      </c>
      <c r="G72" s="53">
        <v>19547.1</v>
      </c>
      <c r="H72" s="53">
        <v>19731.329999999998</v>
      </c>
      <c r="I72" s="53">
        <v>21087.979999999996</v>
      </c>
      <c r="J72" s="53">
        <v>21277.22</v>
      </c>
      <c r="K72" s="53">
        <v>19042.945</v>
      </c>
      <c r="L72" s="53">
        <v>19290.874000000003</v>
      </c>
    </row>
    <row r="73" spans="1:12" ht="30">
      <c r="A73" s="26"/>
      <c r="B73" s="31" t="s">
        <v>58</v>
      </c>
      <c r="C73" s="31" t="s">
        <v>5</v>
      </c>
      <c r="D73" s="53">
        <v>109.0587053134988</v>
      </c>
      <c r="E73" s="53">
        <v>96.68022315628322</v>
      </c>
      <c r="F73" s="53">
        <v>95.51968848340766</v>
      </c>
      <c r="G73" s="53">
        <v>110.23703691637971</v>
      </c>
      <c r="H73" s="53">
        <v>112.24269650581714</v>
      </c>
      <c r="I73" s="53">
        <v>103.63391783105169</v>
      </c>
      <c r="J73" s="53">
        <v>103.9871720420688</v>
      </c>
      <c r="K73" s="53">
        <v>87.08039205537614</v>
      </c>
      <c r="L73" s="53">
        <v>87.42955419971489</v>
      </c>
    </row>
    <row r="74" spans="1:12" ht="30">
      <c r="A74" s="26"/>
      <c r="B74" s="31" t="s">
        <v>163</v>
      </c>
      <c r="C74" s="31"/>
      <c r="D74" s="33"/>
      <c r="E74" s="38"/>
      <c r="F74" s="33"/>
      <c r="G74" s="38"/>
      <c r="H74" s="38"/>
      <c r="I74" s="38"/>
      <c r="J74" s="38"/>
      <c r="K74" s="38"/>
      <c r="L74" s="38"/>
    </row>
    <row r="75" spans="1:12" ht="15">
      <c r="A75" s="26"/>
      <c r="B75" s="31" t="s">
        <v>12</v>
      </c>
      <c r="C75" s="31" t="s">
        <v>13</v>
      </c>
      <c r="D75" s="53">
        <v>15479.083</v>
      </c>
      <c r="E75" s="53">
        <v>15880.108</v>
      </c>
      <c r="F75" s="53">
        <v>16119.89165</v>
      </c>
      <c r="G75" s="53">
        <v>18115.3</v>
      </c>
      <c r="H75" s="53">
        <v>18350.136899999998</v>
      </c>
      <c r="I75" s="53">
        <v>19611.821399999997</v>
      </c>
      <c r="J75" s="53">
        <v>19787.8146</v>
      </c>
      <c r="K75" s="53">
        <v>17900.3683</v>
      </c>
      <c r="L75" s="53">
        <v>18133.421560000003</v>
      </c>
    </row>
    <row r="76" spans="1:12" ht="15">
      <c r="A76" s="26"/>
      <c r="B76" s="31" t="s">
        <v>59</v>
      </c>
      <c r="C76" s="31" t="s">
        <v>13</v>
      </c>
      <c r="D76" s="53">
        <v>767.996</v>
      </c>
      <c r="E76" s="53">
        <v>660.114</v>
      </c>
      <c r="F76" s="53">
        <v>848.4153500000011</v>
      </c>
      <c r="G76" s="53">
        <v>1431.7999999999993</v>
      </c>
      <c r="H76" s="53">
        <v>1381.1931000000004</v>
      </c>
      <c r="I76" s="53">
        <v>1476.1585999999988</v>
      </c>
      <c r="J76" s="53">
        <v>1489.4053999999996</v>
      </c>
      <c r="K76" s="53">
        <v>1142.5767000000014</v>
      </c>
      <c r="L76" s="53">
        <v>1157.452440000001</v>
      </c>
    </row>
    <row r="77" spans="1:12" ht="15">
      <c r="A77" s="26"/>
      <c r="B77" s="31" t="s">
        <v>60</v>
      </c>
      <c r="C77" s="31" t="s">
        <v>13</v>
      </c>
      <c r="D77" s="53">
        <v>77.144</v>
      </c>
      <c r="E77" s="53">
        <v>128.037</v>
      </c>
      <c r="F77" s="53">
        <v>60</v>
      </c>
      <c r="G77" s="53">
        <v>60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</row>
    <row r="78" spans="1:12" ht="15">
      <c r="A78" s="26"/>
      <c r="B78" s="31" t="s">
        <v>14</v>
      </c>
      <c r="C78" s="31" t="s">
        <v>13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</row>
    <row r="79" spans="1:12" ht="15">
      <c r="A79" s="26"/>
      <c r="B79" s="31" t="s">
        <v>61</v>
      </c>
      <c r="C79" s="31" t="s">
        <v>13</v>
      </c>
      <c r="D79" s="53">
        <v>350.926</v>
      </c>
      <c r="E79" s="53">
        <v>371.205</v>
      </c>
      <c r="F79" s="53">
        <v>476</v>
      </c>
      <c r="G79" s="53">
        <v>1365</v>
      </c>
      <c r="H79" s="53">
        <v>1365.1999999999998</v>
      </c>
      <c r="I79" s="53">
        <v>1178.3</v>
      </c>
      <c r="J79" s="53">
        <v>1178.3</v>
      </c>
      <c r="K79" s="53">
        <v>1047</v>
      </c>
      <c r="L79" s="53">
        <v>1047</v>
      </c>
    </row>
    <row r="80" spans="1:12" ht="15">
      <c r="A80" s="26"/>
      <c r="B80" s="31" t="s">
        <v>15</v>
      </c>
      <c r="C80" s="31" t="s">
        <v>13</v>
      </c>
      <c r="D80" s="53">
        <v>339.926</v>
      </c>
      <c r="E80" s="53">
        <v>160.872</v>
      </c>
      <c r="F80" s="53">
        <v>372.4153500000011</v>
      </c>
      <c r="G80" s="53">
        <v>66.79999999999927</v>
      </c>
      <c r="H80" s="53">
        <v>15.993100000000595</v>
      </c>
      <c r="I80" s="53">
        <v>297.8585999999989</v>
      </c>
      <c r="J80" s="53">
        <v>311.1053999999997</v>
      </c>
      <c r="K80" s="53">
        <v>95.57670000000144</v>
      </c>
      <c r="L80" s="53">
        <v>110.45244000000093</v>
      </c>
    </row>
    <row r="81" spans="1:12" ht="15">
      <c r="A81" s="21" t="s">
        <v>139</v>
      </c>
      <c r="B81" s="24" t="s">
        <v>140</v>
      </c>
      <c r="C81" s="27"/>
      <c r="D81" s="33"/>
      <c r="E81" s="38"/>
      <c r="F81" s="33"/>
      <c r="G81" s="38"/>
      <c r="H81" s="38"/>
      <c r="I81" s="38"/>
      <c r="J81" s="38"/>
      <c r="K81" s="38"/>
      <c r="L81" s="38"/>
    </row>
    <row r="82" spans="1:12" ht="30">
      <c r="A82" s="26"/>
      <c r="B82" s="31" t="s">
        <v>156</v>
      </c>
      <c r="C82" s="31" t="s">
        <v>2</v>
      </c>
      <c r="D82" s="53">
        <v>3265.5999999999995</v>
      </c>
      <c r="E82" s="53">
        <v>3292.6000000000004</v>
      </c>
      <c r="F82" s="53">
        <v>4012.5</v>
      </c>
      <c r="G82" s="53">
        <v>4337.7</v>
      </c>
      <c r="H82" s="53">
        <f>G82</f>
        <v>4337.7</v>
      </c>
      <c r="I82" s="53">
        <v>3538.7</v>
      </c>
      <c r="J82" s="53">
        <f>I82</f>
        <v>3538.7</v>
      </c>
      <c r="K82" s="53">
        <v>3630.7</v>
      </c>
      <c r="L82" s="53">
        <f>K82</f>
        <v>3630.7</v>
      </c>
    </row>
    <row r="83" spans="1:12" ht="45">
      <c r="A83" s="26"/>
      <c r="B83" s="31" t="s">
        <v>93</v>
      </c>
      <c r="C83" s="31" t="s">
        <v>2</v>
      </c>
      <c r="D83" s="53">
        <v>3252.6</v>
      </c>
      <c r="E83" s="53">
        <v>3343.1</v>
      </c>
      <c r="F83" s="53">
        <v>4140.7</v>
      </c>
      <c r="G83" s="53">
        <v>4394.3</v>
      </c>
      <c r="H83" s="53">
        <f>G83</f>
        <v>4394.3</v>
      </c>
      <c r="I83" s="53">
        <v>3596</v>
      </c>
      <c r="J83" s="53">
        <f>I83</f>
        <v>3596</v>
      </c>
      <c r="K83" s="53">
        <v>3688.4</v>
      </c>
      <c r="L83" s="53">
        <f>K83</f>
        <v>3688.4</v>
      </c>
    </row>
    <row r="84" spans="1:12" ht="15">
      <c r="A84" s="26"/>
      <c r="B84" s="31" t="s">
        <v>155</v>
      </c>
      <c r="C84" s="31" t="s">
        <v>2</v>
      </c>
      <c r="D84" s="53">
        <f>D82-D83</f>
        <v>12.999999999999545</v>
      </c>
      <c r="E84" s="53">
        <f>E82-E83</f>
        <v>-50.499999999999545</v>
      </c>
      <c r="F84" s="53">
        <f aca="true" t="shared" si="4" ref="F84:L84">F82-F83</f>
        <v>-128.19999999999982</v>
      </c>
      <c r="G84" s="53">
        <f t="shared" si="4"/>
        <v>-56.600000000000364</v>
      </c>
      <c r="H84" s="53">
        <f t="shared" si="4"/>
        <v>-56.600000000000364</v>
      </c>
      <c r="I84" s="53">
        <f t="shared" si="4"/>
        <v>-57.30000000000018</v>
      </c>
      <c r="J84" s="53">
        <f t="shared" si="4"/>
        <v>-57.30000000000018</v>
      </c>
      <c r="K84" s="53">
        <f t="shared" si="4"/>
        <v>-57.70000000000027</v>
      </c>
      <c r="L84" s="53">
        <f t="shared" si="4"/>
        <v>-57.70000000000027</v>
      </c>
    </row>
    <row r="85" spans="1:12" ht="15">
      <c r="A85" s="26"/>
      <c r="B85" s="31" t="s">
        <v>136</v>
      </c>
      <c r="C85" s="31" t="s">
        <v>2</v>
      </c>
      <c r="D85" s="53">
        <v>0</v>
      </c>
      <c r="E85" s="53">
        <v>0</v>
      </c>
      <c r="F85" s="53">
        <v>0</v>
      </c>
      <c r="G85" s="53">
        <v>0</v>
      </c>
      <c r="H85" s="53">
        <f>G85</f>
        <v>0</v>
      </c>
      <c r="I85" s="53">
        <v>0</v>
      </c>
      <c r="J85" s="53">
        <f>I85</f>
        <v>0</v>
      </c>
      <c r="K85" s="53">
        <v>0</v>
      </c>
      <c r="L85" s="53">
        <f>K85</f>
        <v>0</v>
      </c>
    </row>
    <row r="86" spans="1:12" ht="15">
      <c r="A86" s="21" t="s">
        <v>142</v>
      </c>
      <c r="B86" s="24" t="s">
        <v>141</v>
      </c>
      <c r="C86" s="31"/>
      <c r="D86" s="33"/>
      <c r="E86" s="38"/>
      <c r="F86" s="33"/>
      <c r="G86" s="38"/>
      <c r="H86" s="38"/>
      <c r="I86" s="38"/>
      <c r="J86" s="38"/>
      <c r="K86" s="38"/>
      <c r="L86" s="38"/>
    </row>
    <row r="87" spans="1:12" ht="15">
      <c r="A87" s="26"/>
      <c r="B87" s="31" t="s">
        <v>16</v>
      </c>
      <c r="C87" s="31" t="s">
        <v>2</v>
      </c>
      <c r="D87" s="54">
        <v>18165.84</v>
      </c>
      <c r="E87" s="54">
        <v>18652.209048</v>
      </c>
      <c r="F87" s="54">
        <v>18662.96372428488</v>
      </c>
      <c r="G87" s="54">
        <v>18657.107849302665</v>
      </c>
      <c r="H87" s="54">
        <v>18793.356756291996</v>
      </c>
      <c r="I87" s="54">
        <v>18665.039717693977</v>
      </c>
      <c r="J87" s="54">
        <v>18975.910953297935</v>
      </c>
      <c r="K87" s="54">
        <v>18726.83588728784</v>
      </c>
      <c r="L87" s="54">
        <v>19124.17021874658</v>
      </c>
    </row>
    <row r="88" spans="1:12" ht="15">
      <c r="A88" s="26"/>
      <c r="B88" s="31" t="s">
        <v>86</v>
      </c>
      <c r="C88" s="31" t="s">
        <v>62</v>
      </c>
      <c r="D88" s="55">
        <v>51923.16926770709</v>
      </c>
      <c r="E88" s="55">
        <v>54202</v>
      </c>
      <c r="F88" s="55">
        <v>54953.78174</v>
      </c>
      <c r="G88" s="55">
        <v>55503.3195574</v>
      </c>
      <c r="H88" s="55">
        <v>55836.88901256179</v>
      </c>
      <c r="I88" s="55">
        <v>56113.8560725314</v>
      </c>
      <c r="J88" s="55">
        <v>56816.82641473224</v>
      </c>
      <c r="K88" s="55">
        <v>56787.22234540179</v>
      </c>
      <c r="L88" s="55">
        <v>57610.55747974605</v>
      </c>
    </row>
    <row r="89" spans="1:12" ht="15">
      <c r="A89" s="26"/>
      <c r="B89" s="31" t="s">
        <v>85</v>
      </c>
      <c r="C89" s="31" t="s">
        <v>22</v>
      </c>
      <c r="D89" s="53">
        <v>102.80483239269174</v>
      </c>
      <c r="E89" s="53">
        <v>101.8</v>
      </c>
      <c r="F89" s="53">
        <v>98.787</v>
      </c>
      <c r="G89" s="53">
        <v>98</v>
      </c>
      <c r="H89" s="53">
        <v>98.607</v>
      </c>
      <c r="I89" s="53">
        <v>98.1</v>
      </c>
      <c r="J89" s="53">
        <v>98.755</v>
      </c>
      <c r="K89" s="53">
        <v>98.2</v>
      </c>
      <c r="L89" s="53">
        <v>98.397</v>
      </c>
    </row>
    <row r="90" spans="1:12" ht="15">
      <c r="A90" s="26"/>
      <c r="B90" s="31" t="s">
        <v>63</v>
      </c>
      <c r="C90" s="31" t="s">
        <v>62</v>
      </c>
      <c r="D90" s="53">
        <v>20469</v>
      </c>
      <c r="E90" s="53">
        <v>21000.37524</v>
      </c>
      <c r="F90" s="53">
        <v>21630.3864972</v>
      </c>
      <c r="G90" s="53">
        <v>22495.601957088</v>
      </c>
      <c r="H90" s="53">
        <v>22495.601957088</v>
      </c>
      <c r="I90" s="53">
        <v>23395.42603537152</v>
      </c>
      <c r="J90" s="53">
        <v>23395.42603537152</v>
      </c>
      <c r="K90" s="53">
        <v>24331.24307678638</v>
      </c>
      <c r="L90" s="53">
        <v>24331.24307678638</v>
      </c>
    </row>
    <row r="91" spans="1:12" ht="15">
      <c r="A91" s="21" t="s">
        <v>143</v>
      </c>
      <c r="B91" s="24" t="s">
        <v>144</v>
      </c>
      <c r="C91" s="31"/>
      <c r="D91" s="33"/>
      <c r="E91" s="38"/>
      <c r="F91" s="33"/>
      <c r="G91" s="38"/>
      <c r="H91" s="38"/>
      <c r="I91" s="38"/>
      <c r="J91" s="38"/>
      <c r="K91" s="38"/>
      <c r="L91" s="38"/>
    </row>
    <row r="92" spans="1:12" ht="15">
      <c r="A92" s="26"/>
      <c r="B92" s="31" t="s">
        <v>158</v>
      </c>
      <c r="C92" s="31" t="s">
        <v>31</v>
      </c>
      <c r="D92" s="40">
        <v>18.114</v>
      </c>
      <c r="E92" s="56">
        <v>17.219</v>
      </c>
      <c r="F92" s="56">
        <f>F12*0.61</f>
        <v>17.26361</v>
      </c>
      <c r="G92" s="56">
        <f>G12*0.613</f>
        <v>17.171356</v>
      </c>
      <c r="H92" s="56">
        <f>H12*0.615</f>
        <v>17.24952</v>
      </c>
      <c r="I92" s="56">
        <f>I12*0.615</f>
        <v>17.047185</v>
      </c>
      <c r="J92" s="56">
        <f>J12*0.617</f>
        <v>17.172344</v>
      </c>
      <c r="K92" s="56">
        <f>K12*0.617</f>
        <v>16.955777</v>
      </c>
      <c r="L92" s="56">
        <f>L12*0.619</f>
        <v>17.123397</v>
      </c>
    </row>
    <row r="93" spans="1:12" s="59" customFormat="1" ht="15">
      <c r="A93" s="58"/>
      <c r="B93" s="65" t="s">
        <v>154</v>
      </c>
      <c r="C93" s="65" t="s">
        <v>31</v>
      </c>
      <c r="D93" s="66">
        <v>16.347</v>
      </c>
      <c r="E93" s="66">
        <f>12.227+4.16</f>
        <v>16.387</v>
      </c>
      <c r="F93" s="51">
        <f>11.847+4.16</f>
        <v>16.006999999999998</v>
      </c>
      <c r="G93" s="66">
        <f>11.481+4.16</f>
        <v>15.641</v>
      </c>
      <c r="H93" s="66">
        <f>11.494+4.162</f>
        <v>15.655999999999999</v>
      </c>
      <c r="I93" s="66">
        <f>11.137+4.162</f>
        <v>15.299</v>
      </c>
      <c r="J93" s="66">
        <f>11.182+4.164</f>
        <v>15.346</v>
      </c>
      <c r="K93" s="66">
        <f>10.783+4.164</f>
        <v>14.947</v>
      </c>
      <c r="L93" s="66">
        <f>10.858+4.166</f>
        <v>15.024000000000001</v>
      </c>
    </row>
    <row r="94" spans="1:12" ht="30">
      <c r="A94" s="26"/>
      <c r="B94" s="65" t="s">
        <v>151</v>
      </c>
      <c r="C94" s="65" t="s">
        <v>152</v>
      </c>
      <c r="D94" s="55">
        <v>83010.58504964306</v>
      </c>
      <c r="E94" s="55">
        <v>90651</v>
      </c>
      <c r="F94" s="55">
        <v>92169.40424999999</v>
      </c>
      <c r="G94" s="55">
        <v>95303.1639945</v>
      </c>
      <c r="H94" s="55">
        <v>95395.33339875</v>
      </c>
      <c r="I94" s="55">
        <v>98734.077898302</v>
      </c>
      <c r="J94" s="55">
        <v>99020.35606790248</v>
      </c>
      <c r="K94" s="55">
        <v>102485.97285843747</v>
      </c>
      <c r="L94" s="55">
        <v>102981.17031061857</v>
      </c>
    </row>
    <row r="95" spans="1:12" ht="30">
      <c r="A95" s="26"/>
      <c r="B95" s="31" t="s">
        <v>153</v>
      </c>
      <c r="C95" s="31" t="s">
        <v>22</v>
      </c>
      <c r="D95" s="49">
        <v>106.3246459765607</v>
      </c>
      <c r="E95" s="49">
        <v>109.20414540601986</v>
      </c>
      <c r="F95" s="49">
        <v>101.675</v>
      </c>
      <c r="G95" s="49">
        <v>103.4</v>
      </c>
      <c r="H95" s="49">
        <v>103.5</v>
      </c>
      <c r="I95" s="49">
        <v>103.6</v>
      </c>
      <c r="J95" s="49">
        <v>103.8</v>
      </c>
      <c r="K95" s="49">
        <v>103.8</v>
      </c>
      <c r="L95" s="49">
        <v>104</v>
      </c>
    </row>
    <row r="96" spans="1:12" ht="30">
      <c r="A96" s="26"/>
      <c r="B96" s="39" t="s">
        <v>18</v>
      </c>
      <c r="C96" s="39" t="s">
        <v>7</v>
      </c>
      <c r="D96" s="57">
        <v>0.9385006072650989</v>
      </c>
      <c r="E96" s="57">
        <v>0.8885533422382251</v>
      </c>
      <c r="F96" s="57">
        <v>0.9994766857658824</v>
      </c>
      <c r="G96" s="57">
        <v>1.0064390788217037</v>
      </c>
      <c r="H96" s="57">
        <v>0.9428936463111643</v>
      </c>
      <c r="I96" s="57">
        <v>1.0137152694440277</v>
      </c>
      <c r="J96" s="57">
        <v>0.9470804587468326</v>
      </c>
      <c r="K96" s="57">
        <v>1.0191255698785329</v>
      </c>
      <c r="L96" s="57">
        <v>0.9497371216685078</v>
      </c>
    </row>
    <row r="97" spans="1:12" ht="45">
      <c r="A97" s="26"/>
      <c r="B97" s="31" t="s">
        <v>19</v>
      </c>
      <c r="C97" s="31" t="s">
        <v>31</v>
      </c>
      <c r="D97" s="56">
        <v>0.17</v>
      </c>
      <c r="E97" s="56">
        <v>0.153</v>
      </c>
      <c r="F97" s="56">
        <v>0.17</v>
      </c>
      <c r="G97" s="56">
        <v>0.17</v>
      </c>
      <c r="H97" s="40">
        <v>0.16</v>
      </c>
      <c r="I97" s="56">
        <v>0.17</v>
      </c>
      <c r="J97" s="40">
        <v>0.16</v>
      </c>
      <c r="K97" s="40">
        <v>0.17</v>
      </c>
      <c r="L97" s="40">
        <v>0.16</v>
      </c>
    </row>
    <row r="98" spans="1:12" ht="57.75" customHeight="1">
      <c r="A98" s="26"/>
      <c r="B98" s="5" t="s">
        <v>150</v>
      </c>
      <c r="C98" s="39" t="s">
        <v>87</v>
      </c>
      <c r="D98" s="40">
        <v>0.319</v>
      </c>
      <c r="E98" s="56">
        <v>0.212</v>
      </c>
      <c r="F98" s="56">
        <v>0.3</v>
      </c>
      <c r="G98" s="56">
        <v>0.32</v>
      </c>
      <c r="H98" s="56">
        <v>0.3</v>
      </c>
      <c r="I98" s="56">
        <v>0.31</v>
      </c>
      <c r="J98" s="56">
        <v>0.3</v>
      </c>
      <c r="K98" s="56">
        <v>0.3</v>
      </c>
      <c r="L98" s="56">
        <v>0.29</v>
      </c>
    </row>
    <row r="99" spans="1:12" ht="30">
      <c r="A99" s="26"/>
      <c r="B99" s="31" t="s">
        <v>64</v>
      </c>
      <c r="C99" s="31" t="s">
        <v>31</v>
      </c>
      <c r="D99" s="32">
        <v>12.187</v>
      </c>
      <c r="E99" s="56">
        <v>12.227</v>
      </c>
      <c r="F99" s="56">
        <v>11.847</v>
      </c>
      <c r="G99" s="40">
        <v>11.481</v>
      </c>
      <c r="H99" s="56">
        <v>11.494</v>
      </c>
      <c r="I99" s="40">
        <v>11.137</v>
      </c>
      <c r="J99" s="40">
        <v>11.182</v>
      </c>
      <c r="K99" s="40">
        <v>10.783</v>
      </c>
      <c r="L99" s="56">
        <v>10.858</v>
      </c>
    </row>
    <row r="100" spans="1:12" ht="15">
      <c r="A100" s="26"/>
      <c r="B100" s="31" t="s">
        <v>65</v>
      </c>
      <c r="C100" s="31" t="s">
        <v>2</v>
      </c>
      <c r="D100" s="53">
        <v>12139.8</v>
      </c>
      <c r="E100" s="53">
        <v>13300.677323999998</v>
      </c>
      <c r="F100" s="53">
        <v>13103.338</v>
      </c>
      <c r="G100" s="53">
        <v>13129.544676000001</v>
      </c>
      <c r="H100" s="53">
        <v>13157.457</v>
      </c>
      <c r="I100" s="53">
        <v>13195.192399380003</v>
      </c>
      <c r="J100" s="53">
        <v>13286.375</v>
      </c>
      <c r="K100" s="53">
        <v>13261.168361376904</v>
      </c>
      <c r="L100" s="53">
        <v>13418.239</v>
      </c>
    </row>
    <row r="101" spans="1:12" ht="15">
      <c r="A101" s="21" t="s">
        <v>145</v>
      </c>
      <c r="B101" s="24" t="s">
        <v>146</v>
      </c>
      <c r="C101" s="5"/>
      <c r="D101" s="32"/>
      <c r="E101" s="48"/>
      <c r="F101" s="32"/>
      <c r="G101" s="48"/>
      <c r="H101" s="48"/>
      <c r="I101" s="48"/>
      <c r="J101" s="48"/>
      <c r="K101" s="48"/>
      <c r="L101" s="48"/>
    </row>
    <row r="102" spans="1:12" ht="30">
      <c r="A102" s="26"/>
      <c r="B102" s="61" t="s">
        <v>66</v>
      </c>
      <c r="C102" s="61" t="s">
        <v>31</v>
      </c>
      <c r="D102" s="56">
        <v>2.12</v>
      </c>
      <c r="E102" s="56">
        <v>2.127</v>
      </c>
      <c r="F102" s="56">
        <v>2.127</v>
      </c>
      <c r="G102" s="56">
        <v>2.13</v>
      </c>
      <c r="H102" s="56">
        <v>2.137</v>
      </c>
      <c r="I102" s="56">
        <v>2.12</v>
      </c>
      <c r="J102" s="56">
        <v>2.127</v>
      </c>
      <c r="K102" s="56">
        <v>2.1</v>
      </c>
      <c r="L102" s="56">
        <v>2.11</v>
      </c>
    </row>
    <row r="103" spans="1:12" ht="60">
      <c r="A103" s="26"/>
      <c r="B103" s="61" t="s">
        <v>88</v>
      </c>
      <c r="C103" s="61" t="s">
        <v>31</v>
      </c>
      <c r="D103" s="56">
        <v>3.781</v>
      </c>
      <c r="E103" s="56">
        <v>3.824</v>
      </c>
      <c r="F103" s="56">
        <v>3.918</v>
      </c>
      <c r="G103" s="56">
        <v>3.918</v>
      </c>
      <c r="H103" s="56">
        <v>3.918</v>
      </c>
      <c r="I103" s="56">
        <v>3.949</v>
      </c>
      <c r="J103" s="56">
        <v>3.949</v>
      </c>
      <c r="K103" s="56">
        <v>3.949</v>
      </c>
      <c r="L103" s="56">
        <v>3.949</v>
      </c>
    </row>
    <row r="104" spans="1:12" ht="15">
      <c r="A104" s="26"/>
      <c r="B104" s="31" t="s">
        <v>67</v>
      </c>
      <c r="C104" s="31" t="s">
        <v>31</v>
      </c>
      <c r="D104" s="56">
        <f>D103</f>
        <v>3.781</v>
      </c>
      <c r="E104" s="56">
        <f aca="true" t="shared" si="5" ref="E104:L104">E103</f>
        <v>3.824</v>
      </c>
      <c r="F104" s="56">
        <f t="shared" si="5"/>
        <v>3.918</v>
      </c>
      <c r="G104" s="56">
        <f t="shared" si="5"/>
        <v>3.918</v>
      </c>
      <c r="H104" s="56">
        <f t="shared" si="5"/>
        <v>3.918</v>
      </c>
      <c r="I104" s="56">
        <f t="shared" si="5"/>
        <v>3.949</v>
      </c>
      <c r="J104" s="56">
        <f t="shared" si="5"/>
        <v>3.949</v>
      </c>
      <c r="K104" s="56">
        <f t="shared" si="5"/>
        <v>3.949</v>
      </c>
      <c r="L104" s="56">
        <f t="shared" si="5"/>
        <v>3.949</v>
      </c>
    </row>
    <row r="105" spans="1:12" ht="15">
      <c r="A105" s="26"/>
      <c r="B105" s="63" t="s">
        <v>68</v>
      </c>
      <c r="C105" s="63" t="s">
        <v>31</v>
      </c>
      <c r="D105" s="64" t="s">
        <v>157</v>
      </c>
      <c r="E105" s="64" t="s">
        <v>157</v>
      </c>
      <c r="F105" s="64" t="s">
        <v>157</v>
      </c>
      <c r="G105" s="64" t="s">
        <v>157</v>
      </c>
      <c r="H105" s="64" t="s">
        <v>157</v>
      </c>
      <c r="I105" s="64" t="s">
        <v>157</v>
      </c>
      <c r="J105" s="64" t="s">
        <v>157</v>
      </c>
      <c r="K105" s="64" t="s">
        <v>157</v>
      </c>
      <c r="L105" s="64" t="s">
        <v>157</v>
      </c>
    </row>
    <row r="106" spans="1:12" ht="45">
      <c r="A106" s="26"/>
      <c r="B106" s="39" t="s">
        <v>174</v>
      </c>
      <c r="C106" s="39" t="s">
        <v>31</v>
      </c>
      <c r="D106" s="40">
        <v>0.234</v>
      </c>
      <c r="E106" s="40">
        <v>0.228</v>
      </c>
      <c r="F106" s="40">
        <v>0.202</v>
      </c>
      <c r="G106" s="40">
        <v>0.182</v>
      </c>
      <c r="H106" s="40">
        <v>0.2</v>
      </c>
      <c r="I106" s="40">
        <v>0.173</v>
      </c>
      <c r="J106" s="40">
        <v>0.19</v>
      </c>
      <c r="K106" s="40">
        <v>0.164</v>
      </c>
      <c r="L106" s="40">
        <v>0.18</v>
      </c>
    </row>
    <row r="107" spans="1:12" ht="45">
      <c r="A107" s="26"/>
      <c r="B107" s="39" t="s">
        <v>69</v>
      </c>
      <c r="C107" s="39" t="s">
        <v>31</v>
      </c>
      <c r="D107" s="60">
        <v>0.228</v>
      </c>
      <c r="E107" s="60">
        <v>0.228</v>
      </c>
      <c r="F107" s="60">
        <v>0.278</v>
      </c>
      <c r="G107" s="60">
        <v>0.264</v>
      </c>
      <c r="H107" s="60">
        <v>0.29</v>
      </c>
      <c r="I107" s="60">
        <v>0.273</v>
      </c>
      <c r="J107" s="60">
        <v>0.3</v>
      </c>
      <c r="K107" s="60">
        <v>0.283</v>
      </c>
      <c r="L107" s="56">
        <v>0.31</v>
      </c>
    </row>
    <row r="108" spans="1:12" ht="30">
      <c r="A108" s="26"/>
      <c r="B108" s="39" t="s">
        <v>70</v>
      </c>
      <c r="C108" s="39" t="s">
        <v>31</v>
      </c>
      <c r="D108" s="60">
        <f>D106+D107</f>
        <v>0.462</v>
      </c>
      <c r="E108" s="60">
        <f aca="true" t="shared" si="6" ref="E108:L108">E106+E107</f>
        <v>0.456</v>
      </c>
      <c r="F108" s="60">
        <f t="shared" si="6"/>
        <v>0.48000000000000004</v>
      </c>
      <c r="G108" s="60">
        <f t="shared" si="6"/>
        <v>0.446</v>
      </c>
      <c r="H108" s="60">
        <f t="shared" si="6"/>
        <v>0.49</v>
      </c>
      <c r="I108" s="60">
        <f t="shared" si="6"/>
        <v>0.446</v>
      </c>
      <c r="J108" s="60">
        <f t="shared" si="6"/>
        <v>0.49</v>
      </c>
      <c r="K108" s="60">
        <f t="shared" si="6"/>
        <v>0.44699999999999995</v>
      </c>
      <c r="L108" s="60">
        <f t="shared" si="6"/>
        <v>0.49</v>
      </c>
    </row>
    <row r="109" spans="1:12" ht="45">
      <c r="A109" s="26"/>
      <c r="B109" s="39" t="s">
        <v>71</v>
      </c>
      <c r="C109" s="39" t="s">
        <v>31</v>
      </c>
      <c r="D109" s="40" t="s">
        <v>157</v>
      </c>
      <c r="E109" s="40" t="s">
        <v>157</v>
      </c>
      <c r="F109" s="40"/>
      <c r="G109" s="40" t="s">
        <v>157</v>
      </c>
      <c r="H109" s="40" t="s">
        <v>157</v>
      </c>
      <c r="I109" s="40" t="s">
        <v>157</v>
      </c>
      <c r="J109" s="40" t="s">
        <v>157</v>
      </c>
      <c r="K109" s="40" t="s">
        <v>157</v>
      </c>
      <c r="L109" s="40" t="s">
        <v>157</v>
      </c>
    </row>
    <row r="110" spans="1:12" ht="30">
      <c r="A110" s="26"/>
      <c r="B110" s="39" t="s">
        <v>70</v>
      </c>
      <c r="C110" s="39" t="s">
        <v>31</v>
      </c>
      <c r="D110" s="40" t="s">
        <v>157</v>
      </c>
      <c r="E110" s="40" t="s">
        <v>157</v>
      </c>
      <c r="F110" s="40"/>
      <c r="G110" s="40" t="s">
        <v>157</v>
      </c>
      <c r="H110" s="40" t="s">
        <v>157</v>
      </c>
      <c r="I110" s="40" t="s">
        <v>157</v>
      </c>
      <c r="J110" s="40" t="s">
        <v>157</v>
      </c>
      <c r="K110" s="40" t="s">
        <v>157</v>
      </c>
      <c r="L110" s="40" t="s">
        <v>157</v>
      </c>
    </row>
    <row r="111" spans="1:12" ht="15">
      <c r="A111" s="26"/>
      <c r="B111" s="39" t="s">
        <v>72</v>
      </c>
      <c r="C111" s="39" t="s">
        <v>17</v>
      </c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12" ht="45">
      <c r="A112" s="26"/>
      <c r="B112" s="39" t="s">
        <v>73</v>
      </c>
      <c r="C112" s="39" t="s">
        <v>31</v>
      </c>
      <c r="D112" s="60">
        <v>0.101</v>
      </c>
      <c r="E112" s="60">
        <v>0.112</v>
      </c>
      <c r="F112" s="60">
        <v>0.081</v>
      </c>
      <c r="G112" s="60">
        <v>0.08</v>
      </c>
      <c r="H112" s="60">
        <v>0.092</v>
      </c>
      <c r="I112" s="60">
        <v>0.097</v>
      </c>
      <c r="J112" s="60">
        <v>0.11</v>
      </c>
      <c r="K112" s="60">
        <v>0.082</v>
      </c>
      <c r="L112" s="56">
        <v>0.09</v>
      </c>
    </row>
    <row r="113" spans="1:12" ht="45">
      <c r="A113" s="26"/>
      <c r="B113" s="31" t="s">
        <v>74</v>
      </c>
      <c r="C113" s="31" t="s">
        <v>31</v>
      </c>
      <c r="D113" s="32" t="s">
        <v>157</v>
      </c>
      <c r="E113" s="32" t="s">
        <v>157</v>
      </c>
      <c r="F113" s="32"/>
      <c r="G113" s="32" t="s">
        <v>157</v>
      </c>
      <c r="H113" s="32" t="s">
        <v>157</v>
      </c>
      <c r="I113" s="32" t="s">
        <v>157</v>
      </c>
      <c r="J113" s="32" t="s">
        <v>157</v>
      </c>
      <c r="K113" s="32" t="s">
        <v>157</v>
      </c>
      <c r="L113" s="32" t="s">
        <v>157</v>
      </c>
    </row>
    <row r="114" spans="1:12" ht="15">
      <c r="A114" s="26"/>
      <c r="B114" s="31" t="s">
        <v>89</v>
      </c>
      <c r="C114" s="31"/>
      <c r="D114" s="32"/>
      <c r="E114" s="48"/>
      <c r="F114" s="32"/>
      <c r="G114" s="48"/>
      <c r="H114" s="48"/>
      <c r="I114" s="48"/>
      <c r="J114" s="48"/>
      <c r="K114" s="48"/>
      <c r="L114" s="48"/>
    </row>
    <row r="115" spans="1:12" ht="15">
      <c r="A115" s="26"/>
      <c r="B115" s="31" t="s">
        <v>75</v>
      </c>
      <c r="C115" s="31" t="s">
        <v>90</v>
      </c>
      <c r="D115" s="49">
        <v>76.83073229291716</v>
      </c>
      <c r="E115" s="49">
        <v>78.11137845660285</v>
      </c>
      <c r="F115" s="49">
        <v>73.14229179180948</v>
      </c>
      <c r="G115" s="49">
        <v>73.89690132800229</v>
      </c>
      <c r="H115" s="49">
        <v>73.80205362236167</v>
      </c>
      <c r="I115" s="49">
        <v>74.67801868754283</v>
      </c>
      <c r="J115" s="49">
        <v>74.37482035067548</v>
      </c>
      <c r="K115" s="49">
        <v>75.32476984098103</v>
      </c>
      <c r="L115" s="49">
        <v>74.82919423056067</v>
      </c>
    </row>
    <row r="116" spans="1:12" ht="30">
      <c r="A116" s="26"/>
      <c r="B116" s="31" t="s">
        <v>76</v>
      </c>
      <c r="C116" s="31" t="s">
        <v>91</v>
      </c>
      <c r="D116" s="49">
        <f aca="true" t="shared" si="7" ref="D116:L116">10/(D12/100)</f>
        <v>34.29943405933802</v>
      </c>
      <c r="E116" s="49">
        <f t="shared" si="7"/>
        <v>34.87115109669771</v>
      </c>
      <c r="F116" s="49">
        <f t="shared" si="7"/>
        <v>35.33444047913501</v>
      </c>
      <c r="G116" s="49">
        <f t="shared" si="7"/>
        <v>35.698986148793374</v>
      </c>
      <c r="H116" s="49">
        <f t="shared" si="7"/>
        <v>35.6531660011409</v>
      </c>
      <c r="I116" s="49">
        <f t="shared" si="7"/>
        <v>36.076337530213934</v>
      </c>
      <c r="J116" s="49">
        <f t="shared" si="7"/>
        <v>35.92986490370796</v>
      </c>
      <c r="K116" s="49">
        <f t="shared" si="7"/>
        <v>36.38877770095703</v>
      </c>
      <c r="L116" s="49">
        <f t="shared" si="7"/>
        <v>36.149369193507574</v>
      </c>
    </row>
    <row r="117" spans="1:12" ht="30">
      <c r="A117" s="26"/>
      <c r="B117" s="31" t="s">
        <v>77</v>
      </c>
      <c r="C117" s="31" t="s">
        <v>91</v>
      </c>
      <c r="D117" s="49">
        <f aca="true" t="shared" si="8" ref="D117:L117">17/(D12/100)</f>
        <v>58.30903790087463</v>
      </c>
      <c r="E117" s="49">
        <f t="shared" si="8"/>
        <v>59.2809568643861</v>
      </c>
      <c r="F117" s="49">
        <f t="shared" si="8"/>
        <v>60.06854881452953</v>
      </c>
      <c r="G117" s="49">
        <f t="shared" si="8"/>
        <v>60.68827645294874</v>
      </c>
      <c r="H117" s="49">
        <f t="shared" si="8"/>
        <v>60.61038220193953</v>
      </c>
      <c r="I117" s="49">
        <f t="shared" si="8"/>
        <v>61.329773801363686</v>
      </c>
      <c r="J117" s="49">
        <f t="shared" si="8"/>
        <v>61.08077033630353</v>
      </c>
      <c r="K117" s="49">
        <f t="shared" si="8"/>
        <v>61.86092209162694</v>
      </c>
      <c r="L117" s="49">
        <f t="shared" si="8"/>
        <v>61.45392762896288</v>
      </c>
    </row>
    <row r="118" spans="1:12" ht="30">
      <c r="A118" s="26"/>
      <c r="B118" s="61" t="s">
        <v>78</v>
      </c>
      <c r="C118" s="61" t="s">
        <v>79</v>
      </c>
      <c r="D118" s="62">
        <v>815.9</v>
      </c>
      <c r="E118" s="62">
        <v>856.9</v>
      </c>
      <c r="F118" s="62">
        <v>883.8</v>
      </c>
      <c r="G118" s="62">
        <v>978.5</v>
      </c>
      <c r="H118" s="62">
        <v>971.1</v>
      </c>
      <c r="I118" s="62">
        <v>1003.9</v>
      </c>
      <c r="J118" s="62">
        <v>991.1</v>
      </c>
      <c r="K118" s="62">
        <v>1012.6</v>
      </c>
      <c r="L118" s="62">
        <v>1008.2</v>
      </c>
    </row>
    <row r="119" spans="1:12" ht="30">
      <c r="A119" s="26"/>
      <c r="B119" s="31" t="s">
        <v>80</v>
      </c>
      <c r="C119" s="31" t="s">
        <v>81</v>
      </c>
      <c r="D119" s="49">
        <v>332.70451037557876</v>
      </c>
      <c r="E119" s="49">
        <v>339.99372319280263</v>
      </c>
      <c r="F119" s="49">
        <v>344.5107946715664</v>
      </c>
      <c r="G119" s="49">
        <v>348.0651149507354</v>
      </c>
      <c r="H119" s="49">
        <v>347.6183685111238</v>
      </c>
      <c r="I119" s="49">
        <v>351.7442909195858</v>
      </c>
      <c r="J119" s="49">
        <v>350.31618281115266</v>
      </c>
      <c r="K119" s="49">
        <v>354.790582584331</v>
      </c>
      <c r="L119" s="49">
        <v>352.45634963669886</v>
      </c>
    </row>
    <row r="120" spans="1:12" ht="15">
      <c r="A120" s="26"/>
      <c r="B120" s="31" t="s">
        <v>82</v>
      </c>
      <c r="C120" s="31"/>
      <c r="D120" s="32"/>
      <c r="E120" s="48"/>
      <c r="F120" s="32"/>
      <c r="G120" s="48"/>
      <c r="H120" s="48"/>
      <c r="I120" s="48"/>
      <c r="J120" s="48"/>
      <c r="K120" s="48"/>
      <c r="L120" s="48"/>
    </row>
    <row r="121" spans="1:12" ht="30">
      <c r="A121" s="26"/>
      <c r="B121" s="31" t="s">
        <v>83</v>
      </c>
      <c r="C121" s="31" t="s">
        <v>92</v>
      </c>
      <c r="D121" s="32">
        <v>0.124</v>
      </c>
      <c r="E121" s="32">
        <v>0.117</v>
      </c>
      <c r="F121" s="32">
        <v>0.117</v>
      </c>
      <c r="G121" s="32">
        <v>0.118</v>
      </c>
      <c r="H121" s="32">
        <v>0.119</v>
      </c>
      <c r="I121" s="32">
        <v>0.119</v>
      </c>
      <c r="J121" s="56">
        <v>0.12</v>
      </c>
      <c r="K121" s="56">
        <v>0.12</v>
      </c>
      <c r="L121" s="32">
        <v>0.121</v>
      </c>
    </row>
    <row r="122" spans="1:12" ht="30">
      <c r="A122" s="26"/>
      <c r="B122" s="31" t="s">
        <v>84</v>
      </c>
      <c r="C122" s="31" t="s">
        <v>92</v>
      </c>
      <c r="D122" s="32">
        <v>0.392</v>
      </c>
      <c r="E122" s="32">
        <v>0.385</v>
      </c>
      <c r="F122" s="32">
        <v>0.367</v>
      </c>
      <c r="G122" s="32">
        <v>0.368</v>
      </c>
      <c r="H122" s="32">
        <v>0.369</v>
      </c>
      <c r="I122" s="32">
        <v>0.369</v>
      </c>
      <c r="J122" s="56">
        <v>0.37</v>
      </c>
      <c r="K122" s="56">
        <v>0.37</v>
      </c>
      <c r="L122" s="32">
        <v>0.371</v>
      </c>
    </row>
    <row r="126" spans="2:12" ht="14.25">
      <c r="B126" s="80" t="s">
        <v>167</v>
      </c>
      <c r="C126" s="80"/>
      <c r="D126" s="80"/>
      <c r="E126" s="80"/>
      <c r="F126" s="80"/>
      <c r="G126" s="80"/>
      <c r="H126" s="80"/>
      <c r="I126" s="80"/>
      <c r="J126" s="80"/>
      <c r="K126" s="80"/>
      <c r="L126" s="80"/>
    </row>
  </sheetData>
  <sheetProtection/>
  <mergeCells count="18">
    <mergeCell ref="H3:L3"/>
    <mergeCell ref="B126:L126"/>
    <mergeCell ref="D9:D10"/>
    <mergeCell ref="E9:E10"/>
    <mergeCell ref="G9:H9"/>
    <mergeCell ref="B5:L5"/>
    <mergeCell ref="B6:L6"/>
    <mergeCell ref="F9:F10"/>
    <mergeCell ref="H1:L1"/>
    <mergeCell ref="H2:L2"/>
    <mergeCell ref="A8:A10"/>
    <mergeCell ref="I9:J9"/>
    <mergeCell ref="K9:L9"/>
    <mergeCell ref="B4:L4"/>
    <mergeCell ref="D7:L7"/>
    <mergeCell ref="B8:B10"/>
    <mergeCell ref="C8:C10"/>
    <mergeCell ref="G8:L8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"/>
  <sheetViews>
    <sheetView view="pageBreakPreview" zoomScale="60" zoomScalePageLayoutView="0" workbookViewId="0" topLeftCell="A1">
      <selection activeCell="P18" sqref="P18"/>
    </sheetView>
  </sheetViews>
  <sheetFormatPr defaultColWidth="9.00390625" defaultRowHeight="12.75"/>
  <sheetData>
    <row r="2" spans="2:16" ht="12.75">
      <c r="B2" s="7" t="s">
        <v>94</v>
      </c>
      <c r="C2" s="7" t="s">
        <v>94</v>
      </c>
      <c r="D2" s="7" t="s">
        <v>95</v>
      </c>
      <c r="E2" s="7" t="s">
        <v>96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 ht="12.75">
      <c r="B3" s="7">
        <v>2016</v>
      </c>
      <c r="C3" s="7">
        <v>2017</v>
      </c>
      <c r="D3" s="7">
        <v>2018</v>
      </c>
      <c r="E3" s="84">
        <v>2019</v>
      </c>
      <c r="F3" s="85"/>
      <c r="G3" s="84">
        <v>2020</v>
      </c>
      <c r="H3" s="85"/>
      <c r="I3" s="84">
        <v>2021</v>
      </c>
      <c r="J3" s="85"/>
      <c r="K3" s="84">
        <v>2022</v>
      </c>
      <c r="L3" s="85"/>
      <c r="M3" s="84">
        <v>2023</v>
      </c>
      <c r="N3" s="85"/>
      <c r="O3" s="84">
        <v>2024</v>
      </c>
      <c r="P3" s="85"/>
    </row>
    <row r="4" spans="2:16" ht="12.75">
      <c r="B4" s="7"/>
      <c r="C4" s="7"/>
      <c r="D4" s="7"/>
      <c r="E4" s="7" t="s">
        <v>97</v>
      </c>
      <c r="F4" s="7" t="s">
        <v>98</v>
      </c>
      <c r="G4" s="7" t="s">
        <v>97</v>
      </c>
      <c r="H4" s="7" t="s">
        <v>98</v>
      </c>
      <c r="I4" s="7" t="s">
        <v>97</v>
      </c>
      <c r="J4" s="7" t="s">
        <v>98</v>
      </c>
      <c r="K4" s="7" t="s">
        <v>97</v>
      </c>
      <c r="L4" s="7" t="s">
        <v>98</v>
      </c>
      <c r="M4" s="7" t="s">
        <v>97</v>
      </c>
      <c r="N4" s="7" t="s">
        <v>98</v>
      </c>
      <c r="O4" s="7" t="s">
        <v>97</v>
      </c>
      <c r="P4" s="7" t="s">
        <v>98</v>
      </c>
    </row>
    <row r="5" spans="1:16" ht="12.75">
      <c r="A5" t="s">
        <v>159</v>
      </c>
      <c r="B5" s="6" t="e">
        <f>'форма 2п'!#REF!/'форма 2п'!#REF!</f>
        <v>#REF!</v>
      </c>
      <c r="C5" s="6" t="e">
        <f>'форма 2п'!#REF!/'форма 2п'!D12</f>
        <v>#REF!</v>
      </c>
      <c r="D5" s="6" t="e">
        <f>'форма 2п'!#REF!/'форма 2п'!E12</f>
        <v>#REF!</v>
      </c>
      <c r="E5" s="6" t="e">
        <f>'форма 2п'!#REF!/'форма 2п'!G12</f>
        <v>#REF!</v>
      </c>
      <c r="F5" s="6" t="e">
        <f>'форма 2п'!#REF!/'форма 2п'!H12</f>
        <v>#REF!</v>
      </c>
      <c r="G5" s="6" t="e">
        <f>'форма 2п'!#REF!/'форма 2п'!I12</f>
        <v>#REF!</v>
      </c>
      <c r="H5" s="6" t="e">
        <f>'форма 2п'!#REF!/'форма 2п'!J12</f>
        <v>#REF!</v>
      </c>
      <c r="I5" s="6" t="e">
        <f>'форма 2п'!#REF!/'форма 2п'!K12</f>
        <v>#REF!</v>
      </c>
      <c r="J5" s="6" t="e">
        <f>'форма 2п'!#REF!/'форма 2п'!L12</f>
        <v>#REF!</v>
      </c>
      <c r="K5" s="6" t="e">
        <f>'форма 2п'!#REF!/'форма 2п'!#REF!</f>
        <v>#REF!</v>
      </c>
      <c r="L5" s="6" t="e">
        <f>'форма 2п'!#REF!/'форма 2п'!#REF!</f>
        <v>#REF!</v>
      </c>
      <c r="M5" s="6" t="e">
        <f>'форма 2п'!#REF!/'форма 2п'!#REF!</f>
        <v>#REF!</v>
      </c>
      <c r="N5" s="6" t="e">
        <f>'форма 2п'!#REF!/'форма 2п'!#REF!</f>
        <v>#REF!</v>
      </c>
      <c r="O5" s="6" t="e">
        <f>'форма 2п'!#REF!/'форма 2п'!#REF!</f>
        <v>#REF!</v>
      </c>
      <c r="P5" s="6" t="e">
        <f>'форма 2п'!#REF!/'форма 2п'!#REF!</f>
        <v>#REF!</v>
      </c>
    </row>
  </sheetData>
  <sheetProtection/>
  <mergeCells count="6"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Плетнёва Татьяна Васильевна</cp:lastModifiedBy>
  <cp:lastPrinted>2019-10-30T06:49:18Z</cp:lastPrinted>
  <dcterms:created xsi:type="dcterms:W3CDTF">2013-05-25T16:45:04Z</dcterms:created>
  <dcterms:modified xsi:type="dcterms:W3CDTF">2019-10-30T06:49:37Z</dcterms:modified>
  <cp:category/>
  <cp:version/>
  <cp:contentType/>
  <cp:contentStatus/>
</cp:coreProperties>
</file>